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imulador" sheetId="1" r:id="rId4"/>
    <sheet state="visible" name="Simulador - Captação total" sheetId="2" r:id="rId5"/>
    <sheet state="visible" name="Simulador - 1k" sheetId="3" r:id="rId6"/>
    <sheet state="visible" name="Simulador - 5k" sheetId="4" r:id="rId7"/>
    <sheet state="visible" name="Simulador - 10k" sheetId="5" r:id="rId8"/>
    <sheet state="visible" name="Simulador - 50k" sheetId="6" r:id="rId9"/>
    <sheet state="visible" name="Simulador - 100k" sheetId="7" r:id="rId10"/>
  </sheets>
  <externalReferences>
    <externalReference r:id="rId11"/>
  </externalReferences>
  <definedNames>
    <definedName name="DATA7">#REF!</definedName>
    <definedName name="Swvu.PLANILHA2.">#REF!</definedName>
    <definedName name="wrn.COCAIS.">#REF!</definedName>
    <definedName localSheetId="4" name="OUT">#REF!</definedName>
    <definedName name="wrn.geral.">#REF!</definedName>
    <definedName localSheetId="2" name="ppoo">#REF!</definedName>
    <definedName localSheetId="6" name="j">#REF!</definedName>
    <definedName localSheetId="0" name="iiuy">#REF!</definedName>
    <definedName name="lklk">#REF!</definedName>
    <definedName localSheetId="4" name="ÍNDICEPC">#REF!</definedName>
    <definedName localSheetId="0" name="TEST">#REF!</definedName>
    <definedName localSheetId="0" name="j">#REF!</definedName>
    <definedName localSheetId="0" name="CROQ">#REF!</definedName>
    <definedName localSheetId="2" name="CAPA">#REF!</definedName>
    <definedName name="CUSTO1">#REF!</definedName>
    <definedName name="achou">#REF!</definedName>
    <definedName localSheetId="6" name="GHGH">#REF!</definedName>
    <definedName localSheetId="6" name="SIL">#REF!</definedName>
    <definedName localSheetId="2" name="Gr_Estados">#REF!</definedName>
    <definedName name="HCL">#REF!</definedName>
    <definedName name="R_VAR_SEMI_ACAB">#REF!</definedName>
    <definedName localSheetId="6" name="eeee">#REF!</definedName>
    <definedName name="CLORO_SODA">#REF!</definedName>
    <definedName localSheetId="4" name="TABELA_2">#REF!</definedName>
    <definedName localSheetId="5" name="TABELA_2">#REF!</definedName>
    <definedName name="NOTA_EXPLICATIV">#REF!</definedName>
    <definedName name="TESTVKEY">#REF!</definedName>
    <definedName localSheetId="1" name="EST">#REF!</definedName>
    <definedName name="CENARIO">#REF!</definedName>
    <definedName name="PERDA3">#REF!</definedName>
    <definedName localSheetId="1" name="DEPARTAMENTO">#REF!</definedName>
    <definedName name="DIA">#REF!</definedName>
    <definedName localSheetId="6" name="MP">#REF!</definedName>
    <definedName name="SEC_1">#REF!</definedName>
    <definedName localSheetId="6" name="TABELA_1">#REF!</definedName>
    <definedName name="SAL_2">#REF!</definedName>
    <definedName name="_DAT6">#REF!</definedName>
    <definedName localSheetId="0" name="GHGH">#REF!</definedName>
    <definedName name="ana">#REF!</definedName>
    <definedName name="DATA9">#REF!</definedName>
    <definedName localSheetId="4" name="TEST">#REF!</definedName>
    <definedName name="plan2">#REF!</definedName>
    <definedName name="IMAPR">#REF!</definedName>
    <definedName localSheetId="1" name="AREA">#REF!</definedName>
    <definedName localSheetId="3" name="wacc">#REF!</definedName>
    <definedName localSheetId="5" name="INDICE">#REF!</definedName>
    <definedName name="ÍNDICEPC">#REF!</definedName>
    <definedName name="_Sort">#REF!</definedName>
    <definedName name="slo">#REF!</definedName>
    <definedName name="LICOR">#REF!</definedName>
    <definedName localSheetId="5" name="_Ago1">#REF!</definedName>
    <definedName localSheetId="2" name="DEPARTAMENTO">#REF!</definedName>
    <definedName name="SIL">#REF!</definedName>
    <definedName localSheetId="0" name="smd">#REF!</definedName>
    <definedName localSheetId="4" name="valores_unitáros">#REF!</definedName>
    <definedName name="SEC_2_STD">#REF!</definedName>
    <definedName localSheetId="1" name="INDICE">#REF!</definedName>
    <definedName name="PRO_FLOR">#REF!</definedName>
    <definedName name="Parc_Dívida">#REF!</definedName>
    <definedName name="wrn.ADMIN.">#REF!</definedName>
    <definedName name="Projeções">#REF!</definedName>
    <definedName localSheetId="4" name="SILVI">#REF!</definedName>
    <definedName localSheetId="3" name="man">#REF!</definedName>
    <definedName name="POTS1">#REF!</definedName>
    <definedName name="_DAT8">#REF!</definedName>
    <definedName name="HIPO">#REF!</definedName>
    <definedName localSheetId="2" name="OUT">#REF!</definedName>
    <definedName name="_mov1">#REF!</definedName>
    <definedName name="CUSTO_TOTAL">#REF!</definedName>
    <definedName name="CLORATO_SODIO">#REF!</definedName>
    <definedName localSheetId="4" name="Área_de_Produção">#REF!</definedName>
    <definedName localSheetId="1" name="_Dez1">#REF!</definedName>
    <definedName name="wrn.COLHEITA.">#REF!</definedName>
    <definedName localSheetId="5" name="_Dez1">#REF!</definedName>
    <definedName name="GHGHGH">#REF!</definedName>
    <definedName localSheetId="0" name="TABELA_1">#REF!</definedName>
    <definedName localSheetId="4" name="Projeções">#REF!</definedName>
    <definedName name="wrn.ORC97._.TOTAL.">#REF!</definedName>
    <definedName name="RES">#REF!</definedName>
    <definedName localSheetId="5" name="EST">#REF!</definedName>
    <definedName localSheetId="5" name="TJLP">#REF!</definedName>
    <definedName name="EST">#REF!</definedName>
    <definedName localSheetId="1" name="__tm3">#REF!</definedName>
    <definedName localSheetId="3" name="CoelbaAzul">#REF!</definedName>
    <definedName localSheetId="6" name="CAPA">#REF!</definedName>
    <definedName localSheetId="2" name="PImplem">#REF!</definedName>
    <definedName localSheetId="2" name="g">#REF!</definedName>
    <definedName name="Book_Value">#REF!</definedName>
    <definedName name="Regeneração">#REF!</definedName>
    <definedName localSheetId="0" name="_Ago1">#REF!</definedName>
    <definedName localSheetId="3" name="j">#REF!</definedName>
    <definedName localSheetId="6" name="wacc">#REF!</definedName>
    <definedName name="wrn.Relatório._.Mensal.">#REF!</definedName>
    <definedName localSheetId="6" name="Book_Value">#REF!</definedName>
    <definedName name="T">#REF!</definedName>
    <definedName localSheetId="0" name="fracao">#REF!</definedName>
    <definedName localSheetId="0" name="ÍNDICEPC">#REF!</definedName>
    <definedName localSheetId="4" name="_Dez1">#REF!</definedName>
    <definedName name="d">#REF!</definedName>
    <definedName name="TEST0">#REF!</definedName>
    <definedName name="PLANTA_QUIMICA">#REF!</definedName>
    <definedName localSheetId="5" name="g">#REF!</definedName>
    <definedName localSheetId="6" name="man">#REF!</definedName>
    <definedName name="teste">#REF!</definedName>
    <definedName localSheetId="0" name="MP">#REF!</definedName>
    <definedName localSheetId="3" name="TEST">#REF!</definedName>
    <definedName name="_DAT3">#REF!</definedName>
    <definedName name="Client">#REF!</definedName>
    <definedName localSheetId="1" name="GHGH">#REF!</definedName>
    <definedName name="ss">#REF!</definedName>
    <definedName localSheetId="3" name="sl">#REF!</definedName>
    <definedName localSheetId="6" name="P_D">#REF!</definedName>
    <definedName localSheetId="0" name="REG">#REF!</definedName>
    <definedName name="EMPRESA">#REF!</definedName>
    <definedName name="fdfdf">#REF!</definedName>
    <definedName localSheetId="2" name="CoelbaAzul">#REF!</definedName>
    <definedName localSheetId="2" name="TEST">#REF!</definedName>
    <definedName localSheetId="1" name="SIL">#REF!</definedName>
    <definedName localSheetId="3" name="GHGH">#REF!</definedName>
    <definedName localSheetId="0" name="INDICE">#REF!</definedName>
    <definedName localSheetId="2" name="REG">#REF!</definedName>
    <definedName name="pais">#REF!</definedName>
    <definedName name="x">#REF!</definedName>
    <definedName localSheetId="5" name="NOTA_EXPLICATIV">#REF!</definedName>
    <definedName name="ggggh">#REF!</definedName>
    <definedName name="postfab3">#REF!</definedName>
    <definedName localSheetId="5" name="CoelbaAzul">#REF!</definedName>
    <definedName localSheetId="3" name="TABELA_2">#REF!</definedName>
    <definedName name="wrn.MANUT.">#REF!</definedName>
    <definedName name="defh">#REF!</definedName>
    <definedName localSheetId="1" name="MP">#REF!</definedName>
    <definedName name="_out3">#REF!</definedName>
    <definedName name="FASE_R_A">#REF!</definedName>
    <definedName localSheetId="5" name="Scenario">#REF!</definedName>
    <definedName name="FASE_O_A">#REF!</definedName>
    <definedName localSheetId="4" name="_Abr1">#REF!</definedName>
    <definedName name="iiuy">#REF!</definedName>
    <definedName localSheetId="3" name="ÍNDICEPC">#REF!</definedName>
    <definedName name="_lll1">#REF!</definedName>
    <definedName localSheetId="3" name="Área_de_Produção">#REF!</definedName>
    <definedName name="GHGH">#REF!</definedName>
    <definedName name="MOV.MADEIRA">#REF!</definedName>
    <definedName localSheetId="4" name="fracao">#REF!</definedName>
    <definedName localSheetId="3" name="Gr_Estados">#REF!</definedName>
    <definedName localSheetId="0" name="CAPA">#REF!</definedName>
    <definedName localSheetId="1" name="man">#REF!</definedName>
    <definedName name="_DAT1">#REF!</definedName>
    <definedName name="Country">#REF!</definedName>
    <definedName localSheetId="5" name="REG">#REF!</definedName>
    <definedName name="reger1">#REF!</definedName>
    <definedName localSheetId="2" name="P_D">#REF!</definedName>
    <definedName localSheetId="2" name="iiuy">#REF!</definedName>
    <definedName localSheetId="3" name="n">#REF!</definedName>
    <definedName localSheetId="6" name="Gr_Estados">#REF!</definedName>
    <definedName name="Depreciação">#REF!</definedName>
    <definedName name="FASE_O">#REF!</definedName>
    <definedName localSheetId="5" name="ppoo">#REF!</definedName>
    <definedName name="xx">#REF!</definedName>
    <definedName name="PLACA">#REF!</definedName>
    <definedName localSheetId="1" name="Gr_Estados">#REF!</definedName>
    <definedName name="MNB_2_ECF">#REF!</definedName>
    <definedName localSheetId="5" name="n">#REF!</definedName>
    <definedName localSheetId="3" name="SILVI">#REF!</definedName>
    <definedName name="REG">#REF!</definedName>
    <definedName name="gggg">#REF!</definedName>
    <definedName localSheetId="3" name="CAPA">#REF!</definedName>
    <definedName name="WACC_E">#REF!</definedName>
    <definedName localSheetId="0" name="AREA">#REF!</definedName>
    <definedName localSheetId="6" name="n">#REF!</definedName>
    <definedName localSheetId="0" name="PImplem">#REF!</definedName>
    <definedName name="POST">#REF!</definedName>
    <definedName name="_mp1">#REF!</definedName>
    <definedName localSheetId="3" name="NOTA_EXPLICATIV">#REF!</definedName>
    <definedName name="man">#REF!</definedName>
    <definedName localSheetId="2" name="TABELA_1">#REF!</definedName>
    <definedName localSheetId="5" name="ÍNDICEPC">#REF!</definedName>
    <definedName localSheetId="1" name="TJLP">#REF!</definedName>
    <definedName name="fracao">#REF!</definedName>
    <definedName name="CoelbaAzul">#REF!</definedName>
    <definedName name="POSTFAB2">#REF!</definedName>
    <definedName localSheetId="0" name="CoelbaAzul">#REF!</definedName>
    <definedName localSheetId="1" name="smd">#REF!</definedName>
    <definedName name="revenues">#REF!</definedName>
    <definedName localSheetId="6" name="OUT">#REF!</definedName>
    <definedName localSheetId="0" name="OUT">#REF!</definedName>
    <definedName name="PERDA2">#REF!</definedName>
    <definedName name="MANUT_AC">#REF!</definedName>
    <definedName localSheetId="2" name="TJLP">#REF!</definedName>
    <definedName name="CROQ">#REF!</definedName>
    <definedName localSheetId="6" name="REG">#REF!</definedName>
    <definedName name="Investimento_Inicial_Corrigido">#REF!</definedName>
    <definedName name="Investimento_Inicial">#REF!</definedName>
    <definedName name="TALHADIA4">#REF!</definedName>
    <definedName name="post1">#REF!</definedName>
    <definedName localSheetId="1" name="sl">#REF!</definedName>
    <definedName name="BRANQ_1_ECF">#REF!</definedName>
    <definedName localSheetId="4" name="REG">#REF!</definedName>
    <definedName localSheetId="2" name="TABELA_2">#REF!</definedName>
    <definedName localSheetId="3" name="Book_Value">#REF!</definedName>
    <definedName name="SEC_1_ECF">#REF!</definedName>
    <definedName localSheetId="0" name="CAV_1">#REF!</definedName>
    <definedName localSheetId="3" name="SIL">#REF!</definedName>
    <definedName localSheetId="2" name="sl">#REF!</definedName>
    <definedName localSheetId="5" name="SILVI">#REF!</definedName>
    <definedName name="Days_in_Year">#REF!</definedName>
    <definedName name="AREA">#REF!</definedName>
    <definedName name="MOV">#REF!</definedName>
    <definedName name="EletroPauloVerde">#REF!</definedName>
    <definedName localSheetId="1" name="CoelbaAzul">#REF!</definedName>
    <definedName localSheetId="1" name="P_D">#REF!</definedName>
    <definedName name="Contribuição_Social_2003">#REF!</definedName>
    <definedName localSheetId="6" name="Custeio">#REF!</definedName>
    <definedName localSheetId="0" name="wacc">#REF!</definedName>
    <definedName name="wrn.spc.">#REF!</definedName>
    <definedName name="vazio">#REF!</definedName>
    <definedName localSheetId="6" name="fracao">#REF!</definedName>
    <definedName localSheetId="6" name="__tm3">#REF!</definedName>
    <definedName name="wrn.REGPIR.">#REF!</definedName>
    <definedName name="Gr_Estados">#REF!</definedName>
    <definedName localSheetId="3" name="TJLP">#REF!</definedName>
    <definedName name="wrn.NB140.">#REF!</definedName>
    <definedName localSheetId="2" name="Custeio">#REF!</definedName>
    <definedName localSheetId="0" name="__tm3">#REF!</definedName>
    <definedName localSheetId="3" name="Contribuição_Social_2003">#REF!</definedName>
    <definedName localSheetId="3" name="Custeio">#REF!</definedName>
    <definedName localSheetId="2" name="Book_Value">#REF!</definedName>
    <definedName name="wrn.REGVIR">#REF!</definedName>
    <definedName name="ffff">#REF!</definedName>
    <definedName name="_res3">#REF!</definedName>
    <definedName name="_fix1">#REF!</definedName>
    <definedName name="_Jul1">#REF!</definedName>
    <definedName name="dolar">#REF!</definedName>
    <definedName localSheetId="5" name="valores_unitáros">#REF!</definedName>
    <definedName localSheetId="2" name="ÍNDICEPC">#REF!</definedName>
    <definedName localSheetId="1" name="_Ago1">#REF!</definedName>
    <definedName name="g">#REF!</definedName>
    <definedName name="REGIÃO">#REF!</definedName>
    <definedName localSheetId="6" name="_Ago1">#REF!</definedName>
    <definedName name="MNB_1_STD">#REF!</definedName>
    <definedName name="dehf">#REF!</definedName>
    <definedName localSheetId="3" name="MP">#REF!</definedName>
    <definedName localSheetId="3" name="OUT">#REF!</definedName>
    <definedName localSheetId="1" name="n">#REF!</definedName>
    <definedName localSheetId="1" name="g">#REF!</definedName>
    <definedName name="adm">#REF!</definedName>
    <definedName name="DADOS1">#REF!</definedName>
    <definedName name="BRANQ_2_STD">#REF!</definedName>
    <definedName name="wrn.SABIN.">#REF!</definedName>
    <definedName name="LightConvencional">#REF!</definedName>
    <definedName localSheetId="6" name="PRO_FLOR">#REF!</definedName>
    <definedName localSheetId="5" name="MP">#REF!</definedName>
    <definedName localSheetId="0" name="valores_unitáros">#REF!</definedName>
    <definedName localSheetId="6" name="ÍNDICEPC">#REF!</definedName>
    <definedName name="MNB_2_STD">#REF!</definedName>
    <definedName name="Curr">#REF!</definedName>
    <definedName localSheetId="3" name="P_D">#REF!</definedName>
    <definedName name="sl">#REF!</definedName>
    <definedName name="PImplem">#REF!</definedName>
    <definedName name="BRANQ_1">#REF!</definedName>
    <definedName name="SILV">#REF!</definedName>
    <definedName localSheetId="5" name="PImplem">#REF!</definedName>
    <definedName localSheetId="2" name="_Ago1">#REF!</definedName>
    <definedName name="wrn.DIRETORIA.">#REF!</definedName>
    <definedName localSheetId="6" name="Scenario">#REF!</definedName>
    <definedName localSheetId="5" name="PERDA2">#REF!</definedName>
    <definedName name="Custeio">#REF!</definedName>
    <definedName name="TEST">#REF!</definedName>
    <definedName name="Excel_BuiltIn_Criteria_8">#REF!</definedName>
    <definedName localSheetId="1" name="iiuy">#REF!</definedName>
    <definedName name="LODO">#REF!</definedName>
    <definedName localSheetId="5" name="TABELA_1">#REF!</definedName>
    <definedName localSheetId="6" name="PImplem">#REF!</definedName>
    <definedName name="gfdgdf">#REF!</definedName>
    <definedName name="OUT">#REF!</definedName>
    <definedName localSheetId="2" name="CROQ">#REF!</definedName>
    <definedName localSheetId="4" name="P_D">#REF!</definedName>
    <definedName name="SODA">#REF!</definedName>
    <definedName localSheetId="4" name="wacc">#REF!</definedName>
    <definedName name="Ganho_DB_Baixa">#REF!</definedName>
    <definedName name="n">#REF!</definedName>
    <definedName name="_DAT19">#REF!</definedName>
    <definedName localSheetId="0" name="sl">#REF!</definedName>
    <definedName name="Ganho_Vol_Baixa">#REF!</definedName>
    <definedName localSheetId="4" name="_Ago1">#REF!</definedName>
    <definedName localSheetId="6" name="Área_de_Produção">#REF!</definedName>
    <definedName name="oi">#REF!</definedName>
    <definedName localSheetId="3" name="INDICE">#REF!</definedName>
    <definedName localSheetId="0" name="eeee">#REF!</definedName>
    <definedName localSheetId="4" name="Custeio">#REF!</definedName>
    <definedName localSheetId="5" name="Custeio">#REF!</definedName>
    <definedName name="wrn.OUTROS.">#REF!</definedName>
    <definedName name="dsds">#REF!</definedName>
    <definedName name="SEC_1_STD">#REF!</definedName>
    <definedName name="MNB_1_ECF">#REF!</definedName>
    <definedName localSheetId="3" name="PERDA2">#REF!</definedName>
    <definedName name="FASE_R">#REF!</definedName>
    <definedName name="wrn.CUST_MAD.">#REF!</definedName>
    <definedName localSheetId="6" name="ppoo">#REF!</definedName>
    <definedName localSheetId="4" name="iiuy">#REF!</definedName>
    <definedName name="tm3RD">#REF!</definedName>
    <definedName name="BRANQ_2_ECF">#REF!</definedName>
    <definedName localSheetId="1" name="ppoo">#REF!</definedName>
    <definedName name="_lll3">#REF!</definedName>
    <definedName localSheetId="4" name="CROQ">#REF!</definedName>
    <definedName name="ssss">#REF!</definedName>
    <definedName name="MP">#REF!</definedName>
    <definedName localSheetId="0" name="Gr_Estados">#REF!</definedName>
    <definedName name="ACwvu.PLANILHA2.">#REF!</definedName>
    <definedName name="_DAT13">#REF!</definedName>
    <definedName localSheetId="2" name="PERDA2">#REF!</definedName>
    <definedName localSheetId="4" name="g">#REF!</definedName>
    <definedName name="_des1">#REF!</definedName>
    <definedName localSheetId="4" name="SIL">#REF!</definedName>
    <definedName localSheetId="1" name="TABELA_1">#REF!</definedName>
    <definedName localSheetId="1" name="Contribuição_Social_2003">#REF!</definedName>
    <definedName name="_Mai1">#REF!</definedName>
    <definedName localSheetId="3" name="CROQ">#REF!</definedName>
    <definedName localSheetId="3" name="__tm3">#REF!</definedName>
    <definedName name="_reg1">#REF!</definedName>
    <definedName localSheetId="4" name="j">#REF!</definedName>
    <definedName name="_Set1">#REF!</definedName>
    <definedName localSheetId="4" name="n">#REF!</definedName>
    <definedName localSheetId="4" name="Gr_Estados">#REF!</definedName>
    <definedName localSheetId="4" name="Scenario">#REF!</definedName>
    <definedName name="_DAT15">#REF!</definedName>
    <definedName name="Área_de_Produção">#REF!</definedName>
    <definedName localSheetId="0" name="Custeio">#REF!</definedName>
    <definedName name="CAV_2">#REF!</definedName>
    <definedName name="HIPOT">#REF!</definedName>
    <definedName name="POST4">#REF!</definedName>
    <definedName name="_DAT21">#REF!</definedName>
    <definedName name="WACC_S">#REF!</definedName>
    <definedName localSheetId="4" name="EST">#REF!</definedName>
    <definedName name="CLORATO_DIOXIDO">#REF!</definedName>
    <definedName localSheetId="4" name="AREA">#REF!</definedName>
    <definedName name="FER">#REF!</definedName>
    <definedName localSheetId="5" name="TEST">#REF!</definedName>
    <definedName localSheetId="6" name="CoelbaAzul">#REF!</definedName>
    <definedName name="csuto6">#REF!</definedName>
    <definedName localSheetId="4" name="eeee">#REF!</definedName>
    <definedName localSheetId="4" name="ppoo">#REF!</definedName>
    <definedName name="wrn.REGBis">#REF!</definedName>
    <definedName localSheetId="1" name="SILVI">#REF!</definedName>
    <definedName name="wrn.ESTRADA.">#REF!</definedName>
    <definedName name="LightVerde">#REF!</definedName>
    <definedName localSheetId="1" name="PRO_FLOR">#REF!</definedName>
    <definedName localSheetId="1" name="ÍNDICEPC">#REF!</definedName>
    <definedName name="_Jan1">#REF!</definedName>
    <definedName name="SMrev">#REF!</definedName>
    <definedName localSheetId="0" name="PERDA2">#REF!</definedName>
    <definedName localSheetId="4" name="CAV_1">#REF!</definedName>
    <definedName localSheetId="3" name="Scenario">#REF!</definedName>
    <definedName name="DES">#REF!</definedName>
    <definedName name="wrn.RELATB97.">#REF!</definedName>
    <definedName localSheetId="2" name="smd">#REF!</definedName>
    <definedName localSheetId="0" name="Book_Value">#REF!</definedName>
    <definedName localSheetId="5" name="Contribuição_Social_2003">#REF!</definedName>
    <definedName name="DADOS">#REF!</definedName>
    <definedName name="wrn.rel1.">#REF!</definedName>
    <definedName name="wrn.Imprimir.">#REF!</definedName>
    <definedName name="GROWTH">#REF!</definedName>
    <definedName name="valores_unitáros">#REF!</definedName>
    <definedName name="wrn.FRETE.">#REF!</definedName>
    <definedName name="DADOS2">#REF!</definedName>
    <definedName localSheetId="0" name="TABELA_2">#REF!</definedName>
    <definedName localSheetId="1" name="TEST">#REF!</definedName>
    <definedName name="dfafsdf">#REF!</definedName>
    <definedName localSheetId="5" name="OUT">#REF!</definedName>
    <definedName name="Ganho_Vol_Alta">#REF!</definedName>
    <definedName name="BRANQ_1_STD">#REF!</definedName>
    <definedName name="_DATT">#REF!</definedName>
    <definedName localSheetId="0" name="man">#REF!</definedName>
    <definedName name="__tm3">#REF!</definedName>
    <definedName name="_Abr1">#REF!</definedName>
    <definedName name="DATA6">#REF!</definedName>
    <definedName localSheetId="6" name="PERDA2">#REF!</definedName>
    <definedName localSheetId="4" name="MP">#REF!</definedName>
    <definedName name="_Ago1">#REF!</definedName>
    <definedName localSheetId="5" name="P_D">#REF!</definedName>
    <definedName name="DEPARTAMENTO">#REF!</definedName>
    <definedName localSheetId="2" name="Scenario">#REF!</definedName>
    <definedName localSheetId="0" name="TJLP">#REF!</definedName>
    <definedName localSheetId="6" name="EST">#REF!</definedName>
    <definedName localSheetId="3" name="_Ago1">#REF!</definedName>
    <definedName localSheetId="4" name="CoelbaAzul">#REF!</definedName>
    <definedName localSheetId="2" name="SIL">#REF!</definedName>
    <definedName name="wrn.REGVIRP.">#REF!</definedName>
    <definedName localSheetId="5" name="j">#REF!</definedName>
    <definedName name="lll">#REF!</definedName>
    <definedName name="IMAPO">#REF!</definedName>
    <definedName localSheetId="1" name="valores_unitáros">#REF!</definedName>
    <definedName localSheetId="0" name="_Abr1">#REF!</definedName>
    <definedName name="custo5">#REF!</definedName>
    <definedName name="CARLA">#REF!</definedName>
    <definedName name="wrn.plurianualdiv25.">#REF!</definedName>
    <definedName name="post2">#REF!</definedName>
    <definedName localSheetId="1" name="CAV_1">#REF!</definedName>
    <definedName name="DATA1">#REF!</definedName>
    <definedName localSheetId="5" name="PRO_FLOR">#REF!</definedName>
    <definedName localSheetId="0" name="DEPARTAMENTO">#REF!</definedName>
    <definedName localSheetId="5" name="sl">#REF!</definedName>
    <definedName localSheetId="1" name="j">#REF!</definedName>
    <definedName name="SEC_2_ECF">#REF!</definedName>
    <definedName name="CAV_BIOMASSA">#REF!</definedName>
    <definedName localSheetId="1" name="PImplem">#REF!</definedName>
    <definedName localSheetId="6" name="INDICE">#REF!</definedName>
    <definedName localSheetId="4" name="sl">#REF!</definedName>
    <definedName localSheetId="2" name="CAV_1">#REF!</definedName>
    <definedName name="CAPA">#REF!</definedName>
    <definedName localSheetId="4" name="__tm3">#REF!</definedName>
    <definedName name="MANUT_1">#REF!</definedName>
    <definedName name="DSO">#REF!</definedName>
    <definedName name="wrn.Rel.">#REF!</definedName>
    <definedName name="j">#REF!</definedName>
    <definedName localSheetId="5" name="Book_Value">#REF!</definedName>
    <definedName localSheetId="2" name="__tm3">#REF!</definedName>
    <definedName name="BRANQ_2">#REF!</definedName>
    <definedName name="LightAzul">#REF!</definedName>
    <definedName name="wrn.MOVI_PAT.">#REF!</definedName>
    <definedName name="dfdf">#REF!</definedName>
    <definedName name="P_D">#REF!</definedName>
    <definedName localSheetId="5" name="SIL">#REF!</definedName>
    <definedName name="xs">#REF!</definedName>
    <definedName localSheetId="0" name="EST">#REF!</definedName>
    <definedName localSheetId="2" name="EST">#REF!</definedName>
    <definedName name="_DAT9">#REF!</definedName>
    <definedName name="eeee">#REF!</definedName>
    <definedName name="wrn.RELMEN.">#REF!</definedName>
    <definedName name="ppoo">#REF!</definedName>
    <definedName name="smd">#REF!</definedName>
    <definedName localSheetId="3" name="PImplem">#REF!</definedName>
    <definedName name="PARA">#REF!</definedName>
    <definedName localSheetId="3" name="iiuy">#REF!</definedName>
    <definedName localSheetId="6" name="TEST">#REF!</definedName>
    <definedName name="INDICE">#REF!</definedName>
    <definedName localSheetId="2" name="MP">#REF!</definedName>
    <definedName name="TerminaValue">#REF!</definedName>
    <definedName name="wvu.PLANILHA2.">#REF!</definedName>
    <definedName localSheetId="2" name="valores_unitáros">#REF!</definedName>
    <definedName name="EletroPauloConvencional">#REF!</definedName>
    <definedName name="llll">#REF!</definedName>
    <definedName localSheetId="6" name="CAV_1">#REF!</definedName>
    <definedName localSheetId="4" name="TJLP">#REF!</definedName>
    <definedName localSheetId="4" name="PImplem">#REF!</definedName>
    <definedName localSheetId="6" name="DEPARTAMENTO">#REF!</definedName>
    <definedName localSheetId="0" name="NOTA_EXPLICATIV">#REF!</definedName>
    <definedName name="Excel_BuiltIn_Print_Area_5">#REF!</definedName>
    <definedName localSheetId="5" name="wacc">#REF!</definedName>
    <definedName name="TEST2">#REF!</definedName>
    <definedName localSheetId="3" name="_Dez1">#REF!</definedName>
    <definedName localSheetId="3" name="CAV_1">#REF!</definedName>
    <definedName localSheetId="4" name="PRO_FLOR">#REF!</definedName>
    <definedName localSheetId="1" name="eeee">#REF!</definedName>
    <definedName name="TESTKEYS">#REF!</definedName>
    <definedName name="_DAT4">#REF!</definedName>
    <definedName localSheetId="1" name="TABELA_2">#REF!</definedName>
    <definedName name="wacc">#REF!</definedName>
    <definedName name="wrn.SILVICUL.">#REF!</definedName>
    <definedName name="postfab1">#REF!</definedName>
    <definedName name="TABELA_2">#REF!</definedName>
    <definedName name="TALHADIA5">#REF!</definedName>
    <definedName name="wrn.REGGER">#REF!</definedName>
    <definedName name="tempo">#REF!</definedName>
    <definedName name="sv">#REF!</definedName>
    <definedName name="_Dez1">#REF!</definedName>
    <definedName localSheetId="5" name="Projeções">#REF!</definedName>
    <definedName name="Dólar">#REF!</definedName>
    <definedName name="wrn.REGSAN.">#REF!</definedName>
    <definedName localSheetId="2" name="j">#REF!</definedName>
    <definedName localSheetId="6" name="CROQ">#REF!</definedName>
    <definedName localSheetId="4" name="smd">#REF!</definedName>
    <definedName name="_Nov1">#REF!</definedName>
    <definedName name="inteiro">#REF!</definedName>
    <definedName name="Parc_Próprio">#REF!</definedName>
    <definedName name="_tph118">#REF!</definedName>
    <definedName localSheetId="0" name="Scenario">#REF!</definedName>
    <definedName localSheetId="1" name="wacc">#REF!</definedName>
    <definedName name="DATA2">#REF!</definedName>
    <definedName name="_DAT5">#REF!</definedName>
    <definedName localSheetId="5" name="__tm3">#REF!</definedName>
    <definedName name="MNB_2">#REF!</definedName>
    <definedName localSheetId="6" name="Projeções">#REF!</definedName>
    <definedName localSheetId="3" name="Projeções">#REF!</definedName>
    <definedName localSheetId="1" name="_Abr1">#REF!</definedName>
    <definedName localSheetId="1" name="Scenario">#REF!</definedName>
    <definedName name="DATA5">#REF!</definedName>
    <definedName localSheetId="5" name="GHGH">#REF!</definedName>
    <definedName name="da">#REF!</definedName>
    <definedName localSheetId="5" name="man">#REF!</definedName>
    <definedName localSheetId="0" name="Área_de_Produção">#REF!</definedName>
    <definedName name="_DAT16">#REF!</definedName>
    <definedName name="wrn.RELTR.">#REF!</definedName>
    <definedName name="ENDIVIDAMENTO">#REF!</definedName>
    <definedName localSheetId="6" name="g">#REF!</definedName>
    <definedName name="wrn.plurianual800.">#REF!</definedName>
    <definedName localSheetId="2" name="wacc">#REF!</definedName>
    <definedName localSheetId="6" name="SILVI">#REF!</definedName>
    <definedName name="wrn.DESCASQ.">#REF!</definedName>
    <definedName name="TJLP">#REF!</definedName>
    <definedName localSheetId="3" name="TABELA_1">#REF!</definedName>
    <definedName name="DATA8">#REF!</definedName>
    <definedName localSheetId="6" name="_Dez1">#REF!</definedName>
    <definedName localSheetId="3" name="REG">#REF!</definedName>
    <definedName localSheetId="3" name="PRO_FLOR">#REF!</definedName>
    <definedName name="_DAT12">#REF!</definedName>
    <definedName name="RELAT">#REF!</definedName>
    <definedName localSheetId="4" name="Book_Value">#REF!</definedName>
    <definedName localSheetId="4" name="man">#REF!</definedName>
    <definedName name="wrn.REGVgp">#REF!</definedName>
    <definedName name="wrn.relatório_Resultado">#REF!</definedName>
    <definedName localSheetId="3" name="smd">#REF!</definedName>
    <definedName name="TABELA_1">#REF!</definedName>
    <definedName localSheetId="3" name="fracao">#REF!</definedName>
    <definedName name="wrn.IMPRESSO.">#REF!</definedName>
    <definedName localSheetId="3" name="DEPARTAMENTO">#REF!</definedName>
    <definedName localSheetId="1" name="OUT">#REF!</definedName>
    <definedName name="MNB_1">#REF!</definedName>
    <definedName localSheetId="2" name="SILVI">#REF!</definedName>
    <definedName name="_est1">#REF!</definedName>
    <definedName name="ADM.FABRICA">#REF!</definedName>
    <definedName localSheetId="2" name="_Abr1">#REF!</definedName>
    <definedName name="_DAT17">#REF!</definedName>
    <definedName name="TESTHKEY">#REF!</definedName>
    <definedName localSheetId="4" name="Contribuição_Social_2003">#REF!</definedName>
    <definedName localSheetId="0" name="_Dez1">#REF!</definedName>
    <definedName localSheetId="0" name="ppoo">#REF!</definedName>
    <definedName name="EST_AC">#REF!</definedName>
    <definedName name="USUÁRIO">#REF!</definedName>
    <definedName localSheetId="6" name="sl">#REF!</definedName>
    <definedName name="_Jun1">#REF!</definedName>
    <definedName localSheetId="5" name="_Abr1">#REF!</definedName>
    <definedName name="_tph119">#REF!</definedName>
    <definedName localSheetId="6" name="TABELA_2">#REF!</definedName>
    <definedName localSheetId="2" name="PRO_FLOR">#REF!</definedName>
    <definedName name="wrn.MOV_EST.">#REF!</definedName>
    <definedName name="DESCONTO">#REF!</definedName>
    <definedName localSheetId="5" name="smd">#REF!</definedName>
    <definedName name="wrn.RELRD.">#REF!</definedName>
    <definedName localSheetId="2" name="GHGH">#REF!</definedName>
    <definedName localSheetId="6" name="valores_unitáros">#REF!</definedName>
    <definedName localSheetId="3" name="g">#REF!</definedName>
    <definedName name="Nº_Módulos">#REF!</definedName>
    <definedName name="Scenario">#REF!</definedName>
    <definedName name="teee">#REF!</definedName>
    <definedName name="_fer1">#REF!</definedName>
    <definedName localSheetId="4" name="GHGH">#REF!</definedName>
    <definedName localSheetId="3" name="AREA">#REF!</definedName>
    <definedName name="DATA4">#REF!</definedName>
    <definedName localSheetId="0" name="P_D">#REF!</definedName>
    <definedName name="_OUT1">#REF!</definedName>
    <definedName localSheetId="4" name="TABELA_1">#REF!</definedName>
    <definedName localSheetId="2" name="Projeções">#REF!</definedName>
    <definedName name="ae">#REF!</definedName>
    <definedName localSheetId="6" name="AREA">#REF!</definedName>
    <definedName localSheetId="4" name="NOTA_EXPLICATIV">#REF!</definedName>
    <definedName localSheetId="6" name="iiuy">#REF!</definedName>
    <definedName localSheetId="2" name="eeee">#REF!</definedName>
    <definedName localSheetId="5" name="AREA">#REF!</definedName>
    <definedName name="_DAT2">#REF!</definedName>
    <definedName name="TerminalValue">#REF!</definedName>
    <definedName name="CAV_1">#REF!</definedName>
    <definedName name="VAPOR">#REF!</definedName>
    <definedName localSheetId="5" name="CAPA">#REF!</definedName>
    <definedName localSheetId="0" name="PRO_FLOR">#REF!</definedName>
    <definedName localSheetId="6" name="NOTA_EXPLICATIV">#REF!</definedName>
    <definedName localSheetId="1" name="Área_de_Produção">#REF!</definedName>
    <definedName name="SAL_1">#REF!</definedName>
    <definedName name="_DAT18">#REF!</definedName>
    <definedName localSheetId="2" name="n">#REF!</definedName>
    <definedName localSheetId="1" name="NOTA_EXPLICATIV">#REF!</definedName>
    <definedName name="_Fev1">#REF!</definedName>
    <definedName name="torna">#REF!</definedName>
    <definedName localSheetId="2" name="AREA">#REF!</definedName>
    <definedName name="FFF">#REF!</definedName>
    <definedName localSheetId="0" name="Projeções">#REF!</definedName>
    <definedName name="wrn.TOTAL.">#REF!</definedName>
    <definedName name="DIOXIDO_CLORO">#REF!</definedName>
    <definedName name="croqui">#REF!</definedName>
    <definedName name="ANÁLISE">#REF!</definedName>
    <definedName name="Excel_BuiltIn_Print_Area_6">#REF!</definedName>
    <definedName localSheetId="6" name="smd">#REF!</definedName>
    <definedName localSheetId="5" name="CAV_1">#REF!</definedName>
    <definedName name="DATA3">#REF!</definedName>
    <definedName name="TIR">#REF!</definedName>
    <definedName name="_Mar1">#REF!</definedName>
    <definedName localSheetId="5" name="iiuy">#REF!</definedName>
    <definedName localSheetId="3" name="EST">#REF!</definedName>
    <definedName localSheetId="1" name="Custeio">#REF!</definedName>
    <definedName name="wrn.DEOPE.">#REF!</definedName>
    <definedName name="post5">#REF!</definedName>
    <definedName name="wrn.RELGER.">#REF!</definedName>
    <definedName name="wrn.mo_est.">#REF!</definedName>
    <definedName name="RCD">#REF!</definedName>
    <definedName localSheetId="1" name="fracao">#REF!</definedName>
    <definedName name="_out2">#REF!</definedName>
    <definedName localSheetId="5" name="CROQ">#REF!</definedName>
    <definedName name="ENERGIA">#REF!</definedName>
    <definedName localSheetId="2" name="INDICE">#REF!</definedName>
    <definedName localSheetId="3" name="eeee">#REF!</definedName>
    <definedName name="_DAT11">#REF!</definedName>
    <definedName localSheetId="3" name="ppoo">#REF!</definedName>
    <definedName name="AP_Lag">#REF!</definedName>
    <definedName name="fixo">#REF!</definedName>
    <definedName name="_DAT10">#REF!</definedName>
    <definedName name="VEÍCULO">#REF!</definedName>
    <definedName localSheetId="2" name="Contribuição_Social_2003">#REF!</definedName>
    <definedName localSheetId="0" name="SILVI">#REF!</definedName>
    <definedName localSheetId="6" name="_Abr1">#REF!</definedName>
    <definedName localSheetId="2" name="fracao">#REF!</definedName>
    <definedName localSheetId="2" name="NOTA_EXPLICATIV">#REF!</definedName>
    <definedName localSheetId="5" name="eeee">#REF!</definedName>
    <definedName name="wrn.RES_GER.">#REF!</definedName>
    <definedName name="Tax_rate">#REF!</definedName>
    <definedName localSheetId="4" name="CAPA">#REF!</definedName>
    <definedName name="CLORO">#REF!</definedName>
    <definedName localSheetId="1" name="Book_Value">#REF!</definedName>
    <definedName name="wrn.report.">#REF!</definedName>
    <definedName localSheetId="2" name="_Dez1">#REF!</definedName>
    <definedName name="Year0">#REF!</definedName>
    <definedName name="wrn.RIO.">#REF!</definedName>
    <definedName name="POSTFAB">#REF!</definedName>
    <definedName localSheetId="1" name="CAPA">#REF!</definedName>
    <definedName localSheetId="6" name="TJLP">#REF!</definedName>
    <definedName localSheetId="5" name="DEPARTAMENTO">#REF!</definedName>
    <definedName name="Ganho_DB_Alta">#REF!</definedName>
    <definedName localSheetId="0" name="Contribuição_Social_2003">#REF!</definedName>
    <definedName localSheetId="2" name="man">#REF!</definedName>
    <definedName localSheetId="0" name="SIL">#REF!</definedName>
    <definedName localSheetId="0" name="g">#REF!</definedName>
    <definedName localSheetId="1" name="REG">#REF!</definedName>
    <definedName name="CoelbaConvencional">#REF!</definedName>
    <definedName localSheetId="3" name="valores_unitáros">#REF!</definedName>
    <definedName localSheetId="4" name="DEPARTAMENTO">#REF!</definedName>
    <definedName localSheetId="3" name="_Abr1">#REF!</definedName>
    <definedName localSheetId="1" name="CROQ">#REF!</definedName>
    <definedName name="_SO2">#REF!</definedName>
    <definedName localSheetId="2" name="Área_de_Produção">#REF!</definedName>
    <definedName localSheetId="0" name="n">#REF!</definedName>
    <definedName name="WACC_T">#REF!</definedName>
    <definedName name="TEST1">#REF!</definedName>
    <definedName name="Bus_growth">#REF!</definedName>
    <definedName localSheetId="1" name="PERDA2">#REF!</definedName>
    <definedName localSheetId="5" name="fracao">#REF!</definedName>
    <definedName name="RCP">#REF!</definedName>
    <definedName name="SEC_2">#REF!</definedName>
    <definedName localSheetId="6" name="Contribuição_Social_2003">#REF!</definedName>
    <definedName name="preçocombust">#REF!</definedName>
    <definedName localSheetId="4" name="PERDA2">#REF!</definedName>
    <definedName name="MES">#REF!</definedName>
    <definedName localSheetId="5" name="Área_de_Produção">#REF!</definedName>
    <definedName name="SILVI">#REF!</definedName>
    <definedName name="CUSTO">#REF!</definedName>
    <definedName localSheetId="1" name="Projeções">#REF!</definedName>
    <definedName name="_DAT14">#REF!</definedName>
    <definedName name="DIL">#REF!</definedName>
    <definedName name="EletroPauloAzul">#REF!</definedName>
    <definedName localSheetId="4" name="INDICE">#REF!</definedName>
    <definedName name="revs">#REF!</definedName>
    <definedName name="CoelbaVerde">#REF!</definedName>
    <definedName name="IPC">#REF!</definedName>
    <definedName localSheetId="5" name="Gr_Estados">#REF!</definedName>
    <definedName name="DadosC">#REF!</definedName>
    <definedName name="Gr_Estados_Copia">#REF!</definedName>
  </definedNames>
  <calcPr/>
  <extLst>
    <ext uri="GoogleSheetsCustomDataVersion2">
      <go:sheetsCustomData xmlns:go="http://customooxmlschemas.google.com/" r:id="rId12" roundtripDataChecksum="t8gE78FG+P/u4prX4IvVjnkO6WOn9eIAf2KnxbmOW1s="/>
    </ext>
  </extLst>
</workbook>
</file>

<file path=xl/sharedStrings.xml><?xml version="1.0" encoding="utf-8"?>
<sst xmlns="http://schemas.openxmlformats.org/spreadsheetml/2006/main" count="1202" uniqueCount="110">
  <si>
    <r>
      <rPr>
        <rFont val="Arial"/>
        <color theme="0"/>
        <sz val="20.0"/>
      </rPr>
      <t xml:space="preserve">Resumo: Grupo Muda Crédito Privado
</t>
    </r>
    <r>
      <rPr>
        <rFont val="Arial"/>
        <color theme="0"/>
        <sz val="20.0"/>
        <u/>
      </rPr>
      <t>Dívida tokenizada com liquidez</t>
    </r>
  </si>
  <si>
    <t>.</t>
  </si>
  <si>
    <t>Grupo Muda - Operação</t>
  </si>
  <si>
    <t>Modalidade</t>
  </si>
  <si>
    <t>Dívida (Renda Fixa) com liquidez no mercado secundário</t>
  </si>
  <si>
    <t>Instrumento</t>
  </si>
  <si>
    <t>CIC (Contrato de investimento conversível) com Notas Comerciais</t>
  </si>
  <si>
    <t>Objetivo da Captação</t>
  </si>
  <si>
    <t>Os recursos captados serão utilizados para aumento da captação de clientes (condomínios) e aumento do runaway em busca de rodada série A no fim de 2023.</t>
  </si>
  <si>
    <t>Rendimento (TIR) ao ano</t>
  </si>
  <si>
    <t>Prazo</t>
  </si>
  <si>
    <t>36 meses</t>
  </si>
  <si>
    <t>Valor-Alvo</t>
  </si>
  <si>
    <t>Ticket Mínimo</t>
  </si>
  <si>
    <t>Garantias</t>
  </si>
  <si>
    <t>Recebíveis (duplicatas) lastreados nos contratos com condomínios</t>
  </si>
  <si>
    <t>Remuneração</t>
  </si>
  <si>
    <t>´- Principal: Carência nos três primeiros meses. Após, pagamento trimestral seguindo a sequência de: 10% - 10% - 20% - 20% - 20% -20%
- Calculados mensalmente em forma de juros compostos 
sobre saldo devedor, a 2,25% ao mês. Pagos trimestralmente junto às parcelas do principal.</t>
  </si>
  <si>
    <t>Tributação</t>
  </si>
  <si>
    <t>Tabela regressiva de IR.</t>
  </si>
  <si>
    <t>Relacionamento com Investidor</t>
  </si>
  <si>
    <t>O investidor terá acesso à reports trimestrais por meio de portal do investidor na SMU Investimentos</t>
  </si>
  <si>
    <t>Simulador de renda fixa:</t>
  </si>
  <si>
    <t>Empresa:</t>
  </si>
  <si>
    <t>Grupo Muda</t>
  </si>
  <si>
    <t>Eventuais Dúvidas:</t>
  </si>
  <si>
    <t>atendimento@smu.com.vc</t>
  </si>
  <si>
    <t>Digite aqui o valor do investimento:</t>
  </si>
  <si>
    <t>Investimento Mínimo:</t>
  </si>
  <si>
    <t>Valor bruto no final do contrato</t>
  </si>
  <si>
    <t>ROI bruto</t>
  </si>
  <si>
    <t>Impostos previstos</t>
  </si>
  <si>
    <t>ROI líquido</t>
  </si>
  <si>
    <t>Captação alvo</t>
  </si>
  <si>
    <t>Captação mínima</t>
  </si>
  <si>
    <t>Premissas do Contrato de Investimento Coletivo (CIC)</t>
  </si>
  <si>
    <t>MODALIDADE</t>
  </si>
  <si>
    <t>DÍVIDA (TÍTULOS NÃO-CONVERSÍVEIS EM PARTICIPAÇÃO)</t>
  </si>
  <si>
    <t xml:space="preserve">CAPTAÇÃO </t>
  </si>
  <si>
    <t>Diretrizes e triggers</t>
  </si>
  <si>
    <t>Juros</t>
  </si>
  <si>
    <t>PMT</t>
  </si>
  <si>
    <t>VALOR DA COTA</t>
  </si>
  <si>
    <t>Após, PMT fixo trimestral</t>
  </si>
  <si>
    <t>0Tri Carência</t>
  </si>
  <si>
    <t>COTAS</t>
  </si>
  <si>
    <t>1Tri Juros + 15% principal</t>
  </si>
  <si>
    <t>PRAZO</t>
  </si>
  <si>
    <t>2Tri Juros + 15% principal</t>
  </si>
  <si>
    <t>Pagamentos</t>
  </si>
  <si>
    <t>Fixos</t>
  </si>
  <si>
    <t>3Tri Juros + 15% principal</t>
  </si>
  <si>
    <t>4Tri Juros + 15% principal</t>
  </si>
  <si>
    <t>Amortização Ano 1</t>
  </si>
  <si>
    <t>5Tri Juros + 20% principal</t>
  </si>
  <si>
    <t>Amortização Ano 2</t>
  </si>
  <si>
    <t>6Tri Juros + 20% principal</t>
  </si>
  <si>
    <t>TIR Bruta Investidor</t>
  </si>
  <si>
    <t>Indicadores Financeiros</t>
  </si>
  <si>
    <t>Juros pagos</t>
  </si>
  <si>
    <t>TIR Bruta  ao mês</t>
  </si>
  <si>
    <t>TIR Líquida ao mês</t>
  </si>
  <si>
    <t>Ao mês</t>
  </si>
  <si>
    <t>Ao ano</t>
  </si>
  <si>
    <t>Total</t>
  </si>
  <si>
    <t>TIR Bruta</t>
  </si>
  <si>
    <t>TIR Líquida</t>
  </si>
  <si>
    <t>Equivalência da TIR com CDI*</t>
  </si>
  <si>
    <t>*Taxa CDI apurada na data de abertura da oferta</t>
  </si>
  <si>
    <t>**Rentabilidade média durante o prazo da operação</t>
  </si>
  <si>
    <t>Investidor não visualiza</t>
  </si>
  <si>
    <t>Fluxo de pagamentos</t>
  </si>
  <si>
    <t>MÊS</t>
  </si>
  <si>
    <t>DATA</t>
  </si>
  <si>
    <t>Investimento</t>
  </si>
  <si>
    <t>Pagamento Juros</t>
  </si>
  <si>
    <t>Pagamento principa.l</t>
  </si>
  <si>
    <t>BALANÇO INICIAL</t>
  </si>
  <si>
    <t xml:space="preserve">CÁLCULO DE JUROS </t>
  </si>
  <si>
    <t>BALANÇO FINAL</t>
  </si>
  <si>
    <t>Alíquota IR</t>
  </si>
  <si>
    <t>IR a pagar</t>
  </si>
  <si>
    <t>Rendimento líquido</t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</si>
  <si>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</si>
  <si>
    <t>Moreco - Operação</t>
  </si>
  <si>
    <t>CIC (Contrato de investimento coletivo) com Notas Comerciais</t>
  </si>
  <si>
    <t>Os recursos captados serão utilizados para construção e locação de módulos e controle de fluxode caixa.</t>
  </si>
  <si>
    <t>TIR* ao mês da operação</t>
  </si>
  <si>
    <t>ROI* da operação</t>
  </si>
  <si>
    <t>Cash Collteral + Garantias reais (Recebíveis de contratos de leasing e imobilizado)</t>
  </si>
  <si>
    <t>Remuneração**</t>
  </si>
  <si>
    <t xml:space="preserve">´- Juros: Calculados a 1,90% ao mês em forma de juros compostos sobre saldo devedor. Pagos trimestralmente junto às parcelas do principal. Nos primeiros 12 meses, pagamento dos juros incorridos no período de forma trimestral. 
- Principal: A partir do 12o mês, pagamento trimestral de juros + principal seguindo a sequência de: 10% - 10% - 10% - 10% - 15% - 15% - 15% - 15%
</t>
  </si>
  <si>
    <t>Moreco</t>
  </si>
  <si>
    <t>Prncipal</t>
  </si>
  <si>
    <t>Após, PMT trimestral</t>
  </si>
  <si>
    <t>5Tri Juros + % do principal</t>
  </si>
  <si>
    <t>6Tri Juros + % do principal</t>
  </si>
  <si>
    <t>Variável</t>
  </si>
  <si>
    <t>7Tri Juros + % do principal</t>
  </si>
  <si>
    <t>8Tri Juros + % do principal</t>
  </si>
  <si>
    <t>9Tri Juros + % do principal</t>
  </si>
  <si>
    <t>10Tri Juros + % do principal</t>
  </si>
  <si>
    <t>Amortização Ano 3</t>
  </si>
  <si>
    <t>11Tri Juros + % do principal</t>
  </si>
  <si>
    <t>12Tri Juros + % do principal</t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</si>
  <si>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</si>
  <si>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</si>
  <si>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</si>
  <si>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</si>
  <si>
    <r>
      <rPr>
        <rFont val="Arial"/>
        <color theme="0"/>
        <sz val="20.0"/>
      </rPr>
      <t xml:space="preserve">Resumo: Moreco Crédito Privado
</t>
    </r>
    <r>
      <rPr>
        <rFont val="Arial"/>
        <color theme="0"/>
        <sz val="20.0"/>
        <u/>
      </rPr>
      <t>Dívida tokenizada com liquidez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</si>
</sst>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R$&quot;\ #,##0.00"/>
    <numFmt numFmtId="165" formatCode="&quot;R$&quot;\ #,##0.00;\-&quot;R$&quot;\ #,##0.00"/>
    <numFmt numFmtId="166" formatCode="_-* #,##0_-;\-* #,##0_-;_-* &quot;-&quot;??_-;_-@"/>
    <numFmt numFmtId="167" formatCode="&quot;R$&quot;\ #,##0;[Red]\-&quot;R$&quot;\ #,##0"/>
    <numFmt numFmtId="168" formatCode="0.00%\ &quot;a.m.&quot;"/>
    <numFmt numFmtId="169" formatCode="#\ &quot;meses&quot;"/>
    <numFmt numFmtId="170" formatCode="&quot;$&quot;#,##0_);[Red]\(&quot;$&quot;#,##0\);&quot;-&quot;"/>
    <numFmt numFmtId="171" formatCode="_-* #,##0.00_-;\-* #,##0.00_-;_-* &quot;-&quot;??_-;_-@"/>
    <numFmt numFmtId="172" formatCode="_-* #,##0.000000_-;\-* #,##0.000000_-;_-* &quot;-&quot;??_-;_-@"/>
  </numFmts>
  <fonts count="22">
    <font>
      <sz val="11.0"/>
      <color theme="1"/>
      <name val="Calibri"/>
      <scheme val="minor"/>
    </font>
    <font>
      <sz val="20.0"/>
      <color theme="0"/>
      <name val="Arial"/>
    </font>
    <font/>
    <font>
      <sz val="9.0"/>
      <color theme="1"/>
      <name val="Arial"/>
    </font>
    <font>
      <sz val="18.0"/>
      <color theme="0"/>
      <name val="Arial"/>
    </font>
    <font>
      <sz val="16.0"/>
      <color theme="1"/>
      <name val="Arial"/>
    </font>
    <font>
      <sz val="18.0"/>
      <color theme="1"/>
      <name val="Arial"/>
    </font>
    <font>
      <b/>
      <sz val="11.0"/>
      <color rgb="FFFFFF00"/>
      <name val="Open Sans"/>
    </font>
    <font>
      <sz val="11.0"/>
      <color theme="1"/>
      <name val="Arial"/>
    </font>
    <font>
      <u/>
      <sz val="11.0"/>
      <color rgb="FFFFFF00"/>
      <name val="Calibri"/>
    </font>
    <font>
      <sz val="11.0"/>
      <color theme="1"/>
      <name val="Open Sans"/>
    </font>
    <font>
      <b/>
      <sz val="11.0"/>
      <color theme="1"/>
      <name val="Open Sans"/>
    </font>
    <font>
      <b/>
      <sz val="11.0"/>
      <color rgb="FF92D050"/>
      <name val="Open Sans"/>
    </font>
    <font>
      <b/>
      <sz val="11.0"/>
      <color rgb="FFFF0000"/>
      <name val="Open Sans"/>
    </font>
    <font>
      <b/>
      <sz val="9.0"/>
      <color theme="1"/>
      <name val="Arial"/>
    </font>
    <font>
      <sz val="9.0"/>
      <color rgb="FF000000"/>
      <name val="Arial"/>
    </font>
    <font>
      <sz val="9.0"/>
      <color theme="0"/>
      <name val="Arial"/>
    </font>
    <font>
      <b/>
      <sz val="9.0"/>
      <color theme="0"/>
      <name val="Arial"/>
    </font>
    <font>
      <sz val="10.0"/>
      <color theme="0"/>
      <name val="Arial"/>
    </font>
    <font>
      <i/>
      <sz val="9.0"/>
      <color theme="0"/>
      <name val="Arial"/>
    </font>
    <font>
      <sz val="9.0"/>
      <color rgb="FFFF0000"/>
      <name val="Arial"/>
    </font>
    <font>
      <sz val="14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theme="1"/>
        <bgColor theme="1"/>
      </patternFill>
    </fill>
    <fill>
      <patternFill patternType="solid">
        <fgColor rgb="FF4472C4"/>
        <bgColor rgb="FF4472C4"/>
      </patternFill>
    </fill>
    <fill>
      <patternFill patternType="solid">
        <fgColor rgb="FFCFD5EA"/>
        <bgColor rgb="FFCFD5EA"/>
      </patternFill>
    </fill>
    <fill>
      <patternFill patternType="solid">
        <fgColor rgb="FFE9EBF5"/>
        <bgColor rgb="FFE9EBF5"/>
      </patternFill>
    </fill>
    <fill>
      <patternFill patternType="solid">
        <fgColor rgb="FF7F7F7F"/>
        <bgColor rgb="FF7F7F7F"/>
      </patternFill>
    </fill>
    <fill>
      <patternFill patternType="solid">
        <fgColor rgb="FF7B7B7B"/>
        <bgColor rgb="FF7B7B7B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78">
    <border/>
    <border>
      <left/>
      <top/>
    </border>
    <border>
      <top/>
    </border>
    <border>
      <left/>
      <right/>
      <top/>
      <bottom/>
    </border>
    <border>
      <left/>
    </border>
    <border>
      <left style="medium">
        <color rgb="FFFFFFFF"/>
      </left>
      <top style="medium">
        <color rgb="FFFFFFFF"/>
      </top>
      <bottom/>
    </border>
    <border>
      <top style="medium">
        <color rgb="FFFFFFFF"/>
      </top>
      <bottom/>
    </border>
    <border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  <top style="thick">
        <color rgb="FFFFFFFF"/>
      </top>
      <bottom style="medium">
        <color rgb="FFFFFFFF"/>
      </bottom>
    </border>
    <border>
      <left/>
      <right style="medium">
        <color rgb="FFFFFFFF"/>
      </right>
      <top style="thick">
        <color rgb="FFFFFFFF"/>
      </top>
      <bottom style="medium">
        <color rgb="FFFFFFFF"/>
      </bottom>
    </border>
    <border>
      <left/>
      <right/>
      <top style="thick">
        <color rgb="FFFFFFFF"/>
      </top>
      <bottom style="medium">
        <color rgb="FFFFFFFF"/>
      </bottom>
    </border>
    <border>
      <left style="medium">
        <color rgb="FFFFFFFF"/>
      </left>
      <right/>
      <top style="medium">
        <color rgb="FFFFFFFF"/>
      </top>
      <bottom style="medium">
        <color rgb="FFFFFFFF"/>
      </bottom>
    </border>
    <border>
      <left/>
      <right style="medium">
        <color rgb="FFFFFFFF"/>
      </right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 style="medium">
        <color rgb="FFFFFFFF"/>
      </left>
      <top/>
      <bottom/>
    </border>
    <border>
      <top/>
      <bottom/>
    </border>
    <border>
      <right style="medium">
        <color rgb="FFFFFFFF"/>
      </right>
      <top/>
      <bottom/>
    </border>
    <border>
      <left style="medium">
        <color rgb="FFFFFFFF"/>
      </left>
      <top/>
      <bottom style="medium">
        <color rgb="FFFFFFFF"/>
      </bottom>
    </border>
    <border>
      <top/>
      <bottom style="medium">
        <color rgb="FFFFFFFF"/>
      </bottom>
    </border>
    <border>
      <right style="medium">
        <color rgb="FFFFFFFF"/>
      </right>
      <top/>
      <bottom style="medium">
        <color rgb="FFFFFFFF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hair">
        <color theme="1"/>
      </top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/>
      <right/>
      <top style="thin">
        <color rgb="FFFFFFFF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/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right/>
      <bottom style="hair">
        <color theme="1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/>
      <top style="thin">
        <color rgb="FFFFFFFF"/>
      </top>
    </border>
    <border>
      <left/>
      <right/>
      <top style="hair">
        <color theme="1"/>
      </top>
    </border>
    <border>
      <left style="medium">
        <color rgb="FF000000"/>
      </left>
      <right/>
      <bottom style="thin">
        <color rgb="FFFFFFFF"/>
      </bottom>
    </border>
    <border>
      <left style="medium">
        <color rgb="FF000000"/>
      </left>
      <right/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top style="thin">
        <color rgb="FF002060"/>
      </top>
      <bottom style="medium">
        <color rgb="FF002060"/>
      </bottom>
    </border>
    <border>
      <left style="medium">
        <color rgb="FF002060"/>
      </left>
      <right/>
      <top style="medium">
        <color rgb="FF002060"/>
      </top>
      <bottom/>
    </border>
    <border>
      <left/>
      <right/>
      <top style="medium">
        <color rgb="FF002060"/>
      </top>
      <bottom/>
    </border>
    <border>
      <left/>
      <right style="medium">
        <color rgb="FF002060"/>
      </right>
      <top style="medium">
        <color rgb="FF002060"/>
      </top>
      <bottom/>
    </border>
    <border>
      <left style="medium">
        <color rgb="FF002060"/>
      </left>
      <right/>
      <top/>
      <bottom/>
    </border>
    <border>
      <left/>
      <right style="medium">
        <color rgb="FF002060"/>
      </right>
      <top/>
      <bottom/>
    </border>
    <border>
      <left style="medium">
        <color rgb="FF002060"/>
      </left>
      <right/>
      <top/>
      <bottom style="medium">
        <color rgb="FF002060"/>
      </bottom>
    </border>
    <border>
      <left/>
      <right/>
      <top/>
      <bottom style="medium">
        <color rgb="FF002060"/>
      </bottom>
    </border>
    <border>
      <left/>
      <right style="medium">
        <color rgb="FF002060"/>
      </right>
      <top/>
      <bottom style="medium">
        <color rgb="FF002060"/>
      </bottom>
    </border>
    <border>
      <left/>
      <right/>
      <top/>
      <bottom style="medium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/>
      <right/>
      <top style="medium">
        <color theme="0"/>
      </top>
      <bottom/>
    </border>
    <border>
      <left style="medium">
        <color rgb="FF000000"/>
      </left>
      <right/>
      <top style="medium">
        <color rgb="FF000000"/>
      </top>
      <bottom style="hair">
        <color rgb="FF7F7F7F"/>
      </bottom>
    </border>
    <border>
      <left/>
      <right/>
      <top style="medium">
        <color rgb="FF000000"/>
      </top>
      <bottom style="hair">
        <color rgb="FF7F7F7F"/>
      </bottom>
    </border>
    <border>
      <left/>
      <right style="medium">
        <color rgb="FF000000"/>
      </right>
      <top style="medium">
        <color rgb="FF000000"/>
      </top>
      <bottom style="hair">
        <color rgb="FF7F7F7F"/>
      </bottom>
    </border>
    <border>
      <left style="medium">
        <color rgb="FF000000"/>
      </left>
      <right style="hair">
        <color rgb="FF7F7F7F"/>
      </right>
      <top style="hair">
        <color rgb="FF7F7F7F"/>
      </top>
      <bottom style="hair">
        <color rgb="FF7F7F7F"/>
      </bottom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</border>
    <border>
      <left style="hair">
        <color rgb="FF7F7F7F"/>
      </left>
      <right style="medium">
        <color rgb="FF000000"/>
      </right>
      <top style="hair">
        <color rgb="FF7F7F7F"/>
      </top>
      <bottom style="hair">
        <color rgb="FF7F7F7F"/>
      </bottom>
    </border>
    <border>
      <left style="medium">
        <color rgb="FF000000"/>
      </left>
      <right style="hair">
        <color rgb="FF7F7F7F"/>
      </right>
      <top style="hair">
        <color rgb="FF7F7F7F"/>
      </top>
      <bottom style="medium">
        <color rgb="FF000000"/>
      </bottom>
    </border>
    <border>
      <left style="hair">
        <color rgb="FF7F7F7F"/>
      </left>
      <right style="hair">
        <color rgb="FF7F7F7F"/>
      </right>
      <top style="hair">
        <color rgb="FF7F7F7F"/>
      </top>
      <bottom style="medium">
        <color rgb="FF000000"/>
      </bottom>
    </border>
    <border>
      <left style="hair">
        <color rgb="FF7F7F7F"/>
      </left>
      <right style="medium">
        <color rgb="FF000000"/>
      </right>
      <top style="hair">
        <color rgb="FF7F7F7F"/>
      </top>
      <bottom style="medium">
        <color rgb="FF000000"/>
      </bottom>
    </border>
    <border>
      <left/>
      <right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3" fontId="3" numFmtId="0" xfId="0" applyBorder="1" applyFill="1" applyFont="1"/>
    <xf borderId="0" fillId="0" fontId="3" numFmtId="0" xfId="0" applyFont="1"/>
    <xf borderId="4" fillId="0" fontId="2" numFmtId="0" xfId="0" applyBorder="1" applyFont="1"/>
    <xf borderId="5" fillId="4" fontId="4" numFmtId="0" xfId="0" applyAlignment="1" applyBorder="1" applyFill="1" applyFont="1">
      <alignment horizontal="center" vertical="top"/>
    </xf>
    <xf borderId="6" fillId="0" fontId="2" numFmtId="0" xfId="0" applyBorder="1" applyFont="1"/>
    <xf borderId="7" fillId="0" fontId="2" numFmtId="0" xfId="0" applyBorder="1" applyFont="1"/>
    <xf borderId="8" fillId="5" fontId="5" numFmtId="0" xfId="0" applyAlignment="1" applyBorder="1" applyFill="1" applyFont="1">
      <alignment vertical="center"/>
    </xf>
    <xf borderId="9" fillId="5" fontId="5" numFmtId="0" xfId="0" applyAlignment="1" applyBorder="1" applyFont="1">
      <alignment vertical="center"/>
    </xf>
    <xf borderId="8" fillId="5" fontId="5" numFmtId="0" xfId="0" applyAlignment="1" applyBorder="1" applyFont="1">
      <alignment horizontal="left" vertical="center"/>
    </xf>
    <xf borderId="0" fillId="0" fontId="3" numFmtId="0" xfId="0" applyAlignment="1" applyFont="1">
      <alignment horizontal="left"/>
    </xf>
    <xf borderId="9" fillId="5" fontId="6" numFmtId="0" xfId="0" applyAlignment="1" applyBorder="1" applyFont="1">
      <alignment horizontal="left" vertical="top"/>
    </xf>
    <xf borderId="10" fillId="5" fontId="6" numFmtId="0" xfId="0" applyAlignment="1" applyBorder="1" applyFont="1">
      <alignment horizontal="left" vertical="top"/>
    </xf>
    <xf borderId="11" fillId="6" fontId="5" numFmtId="0" xfId="0" applyAlignment="1" applyBorder="1" applyFill="1" applyFont="1">
      <alignment vertical="center"/>
    </xf>
    <xf borderId="12" fillId="6" fontId="5" numFmtId="0" xfId="0" applyAlignment="1" applyBorder="1" applyFont="1">
      <alignment vertical="center"/>
    </xf>
    <xf borderId="11" fillId="6" fontId="5" numFmtId="0" xfId="0" applyAlignment="1" applyBorder="1" applyFont="1">
      <alignment horizontal="left" vertical="center"/>
    </xf>
    <xf borderId="13" fillId="6" fontId="6" numFmtId="0" xfId="0" applyAlignment="1" applyBorder="1" applyFont="1">
      <alignment horizontal="left" vertical="top"/>
    </xf>
    <xf borderId="12" fillId="6" fontId="6" numFmtId="0" xfId="0" applyAlignment="1" applyBorder="1" applyFont="1">
      <alignment horizontal="left" vertical="top"/>
    </xf>
    <xf borderId="11" fillId="5" fontId="5" numFmtId="0" xfId="0" applyAlignment="1" applyBorder="1" applyFont="1">
      <alignment vertical="center"/>
    </xf>
    <xf borderId="12" fillId="5" fontId="5" numFmtId="0" xfId="0" applyAlignment="1" applyBorder="1" applyFont="1">
      <alignment vertical="center"/>
    </xf>
    <xf borderId="14" fillId="5" fontId="5" numFmtId="0" xfId="0" applyAlignment="1" applyBorder="1" applyFont="1">
      <alignment horizontal="left" shrinkToFit="0" vertical="center" wrapText="1"/>
    </xf>
    <xf borderId="15" fillId="0" fontId="2" numFmtId="0" xfId="0" applyBorder="1" applyFont="1"/>
    <xf borderId="16" fillId="0" fontId="2" numFmtId="0" xfId="0" applyBorder="1" applyFont="1"/>
    <xf borderId="11" fillId="6" fontId="5" numFmtId="10" xfId="0" applyAlignment="1" applyBorder="1" applyFont="1" applyNumberFormat="1">
      <alignment horizontal="left" vertical="center"/>
    </xf>
    <xf borderId="11" fillId="5" fontId="5" numFmtId="0" xfId="0" applyAlignment="1" applyBorder="1" applyFont="1">
      <alignment horizontal="left" vertical="center"/>
    </xf>
    <xf borderId="13" fillId="5" fontId="6" numFmtId="0" xfId="0" applyAlignment="1" applyBorder="1" applyFont="1">
      <alignment horizontal="left" vertical="top"/>
    </xf>
    <xf borderId="12" fillId="5" fontId="6" numFmtId="0" xfId="0" applyAlignment="1" applyBorder="1" applyFont="1">
      <alignment horizontal="left" vertical="top"/>
    </xf>
    <xf borderId="11" fillId="6" fontId="5" numFmtId="164" xfId="0" applyAlignment="1" applyBorder="1" applyFont="1" applyNumberFormat="1">
      <alignment horizontal="left" vertical="center"/>
    </xf>
    <xf borderId="11" fillId="5" fontId="5" numFmtId="164" xfId="0" applyAlignment="1" applyBorder="1" applyFont="1" applyNumberFormat="1">
      <alignment horizontal="left" vertical="center"/>
    </xf>
    <xf borderId="17" fillId="5" fontId="5" numFmtId="0" xfId="0" applyAlignment="1" applyBorder="1" applyFont="1">
      <alignment horizontal="left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7" fontId="7" numFmtId="165" xfId="0" applyAlignment="1" applyBorder="1" applyFill="1" applyFont="1" applyNumberForma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23" fillId="0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24" fillId="0" fontId="8" numFmtId="0" xfId="0" applyAlignment="1" applyBorder="1" applyFont="1">
      <alignment vertical="center"/>
    </xf>
    <xf borderId="25" fillId="8" fontId="7" numFmtId="0" xfId="0" applyAlignment="1" applyBorder="1" applyFill="1" applyFont="1">
      <alignment horizontal="center" shrinkToFit="0" vertical="center" wrapText="1"/>
    </xf>
    <xf borderId="26" fillId="7" fontId="7" numFmtId="165" xfId="0" applyAlignment="1" applyBorder="1" applyFont="1" applyNumberFormat="1">
      <alignment horizontal="center" vertical="center"/>
    </xf>
    <xf borderId="27" fillId="0" fontId="2" numFmtId="0" xfId="0" applyBorder="1" applyFont="1"/>
    <xf borderId="28" fillId="8" fontId="7" numFmtId="0" xfId="0" applyAlignment="1" applyBorder="1" applyFont="1">
      <alignment horizontal="center" vertical="center"/>
    </xf>
    <xf borderId="29" fillId="7" fontId="9" numFmtId="165" xfId="0" applyAlignment="1" applyBorder="1" applyFont="1" applyNumberForma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23" fillId="0" fontId="10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24" fillId="0" fontId="10" numFmtId="0" xfId="0" applyAlignment="1" applyBorder="1" applyFont="1">
      <alignment shrinkToFit="0" vertical="center" wrapText="1"/>
    </xf>
    <xf borderId="35" fillId="8" fontId="7" numFmtId="0" xfId="0" applyAlignment="1" applyBorder="1" applyFont="1">
      <alignment horizontal="center" shrinkToFit="0" vertical="center" wrapText="1"/>
    </xf>
    <xf borderId="26" fillId="0" fontId="11" numFmtId="165" xfId="0" applyAlignment="1" applyBorder="1" applyFont="1" applyNumberFormat="1">
      <alignment horizontal="center" vertical="center"/>
    </xf>
    <xf borderId="36" fillId="8" fontId="7" numFmtId="0" xfId="0" applyAlignment="1" applyBorder="1" applyFont="1">
      <alignment horizontal="center" shrinkToFit="0" vertical="center" wrapText="1"/>
    </xf>
    <xf borderId="29" fillId="7" fontId="7" numFmtId="165" xfId="0" applyAlignment="1" applyBorder="1" applyFont="1" applyNumberFormat="1">
      <alignment horizontal="center" vertical="center"/>
    </xf>
    <xf borderId="37" fillId="0" fontId="2" numFmtId="0" xfId="0" applyBorder="1" applyFont="1"/>
    <xf borderId="26" fillId="9" fontId="12" numFmtId="165" xfId="0" applyAlignment="1" applyBorder="1" applyFill="1" applyFont="1" applyNumberFormat="1">
      <alignment horizontal="center" vertical="center"/>
    </xf>
    <xf borderId="29" fillId="9" fontId="12" numFmtId="10" xfId="0" applyAlignment="1" applyBorder="1" applyFont="1" applyNumberFormat="1">
      <alignment horizontal="center" vertical="center"/>
    </xf>
    <xf borderId="26" fillId="9" fontId="13" numFmtId="165" xfId="0" applyAlignment="1" applyBorder="1" applyFont="1" applyNumberFormat="1">
      <alignment horizontal="center" vertic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8" numFmtId="0" xfId="0" applyAlignment="1" applyBorder="1" applyFont="1">
      <alignment vertical="center"/>
    </xf>
    <xf borderId="42" fillId="0" fontId="2" numFmtId="0" xfId="0" applyBorder="1" applyFont="1"/>
    <xf borderId="0" fillId="0" fontId="3" numFmtId="10" xfId="0" applyFont="1" applyNumberFormat="1"/>
    <xf borderId="0" fillId="0" fontId="3" numFmtId="165" xfId="0" applyFont="1" applyNumberFormat="1"/>
    <xf borderId="0" fillId="0" fontId="14" numFmtId="16" xfId="0" applyFont="1" applyNumberFormat="1"/>
    <xf borderId="0" fillId="0" fontId="14" numFmtId="9" xfId="0" applyFont="1" applyNumberFormat="1"/>
    <xf borderId="0" fillId="0" fontId="3" numFmtId="166" xfId="0" applyFont="1" applyNumberFormat="1"/>
    <xf borderId="0" fillId="0" fontId="14" numFmtId="0" xfId="0" applyAlignment="1" applyFont="1">
      <alignment horizontal="left"/>
    </xf>
    <xf borderId="0" fillId="0" fontId="3" numFmtId="0" xfId="0" applyAlignment="1" applyFont="1">
      <alignment vertical="center"/>
    </xf>
    <xf borderId="43" fillId="0" fontId="14" numFmtId="0" xfId="0" applyAlignment="1" applyBorder="1" applyFont="1">
      <alignment horizontal="left" vertical="center"/>
    </xf>
    <xf borderId="43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4" fillId="0" fontId="3" numFmtId="0" xfId="0" applyBorder="1" applyFont="1"/>
    <xf borderId="45" fillId="10" fontId="3" numFmtId="0" xfId="0" applyAlignment="1" applyBorder="1" applyFill="1" applyFont="1">
      <alignment horizontal="left" vertical="center"/>
    </xf>
    <xf borderId="46" fillId="10" fontId="3" numFmtId="0" xfId="0" applyAlignment="1" applyBorder="1" applyFont="1">
      <alignment vertical="center"/>
    </xf>
    <xf borderId="47" fillId="10" fontId="3" numFmtId="166" xfId="0" applyAlignment="1" applyBorder="1" applyFont="1" applyNumberFormat="1">
      <alignment horizontal="right" vertical="center"/>
    </xf>
    <xf borderId="45" fillId="10" fontId="14" numFmtId="0" xfId="0" applyAlignment="1" applyBorder="1" applyFont="1">
      <alignment horizontal="left"/>
    </xf>
    <xf borderId="46" fillId="10" fontId="14" numFmtId="0" xfId="0" applyAlignment="1" applyBorder="1" applyFont="1">
      <alignment horizontal="left"/>
    </xf>
    <xf borderId="47" fillId="10" fontId="3" numFmtId="0" xfId="0" applyBorder="1" applyFont="1"/>
    <xf borderId="48" fillId="10" fontId="3" numFmtId="0" xfId="0" applyAlignment="1" applyBorder="1" applyFont="1">
      <alignment horizontal="left" vertical="center"/>
    </xf>
    <xf borderId="3" fillId="10" fontId="3" numFmtId="0" xfId="0" applyAlignment="1" applyBorder="1" applyFont="1">
      <alignment vertical="center"/>
    </xf>
    <xf borderId="49" fillId="10" fontId="3" numFmtId="167" xfId="0" applyAlignment="1" applyBorder="1" applyFont="1" applyNumberFormat="1">
      <alignment horizontal="right" vertical="center"/>
    </xf>
    <xf borderId="48" fillId="10" fontId="3" numFmtId="0" xfId="0" applyBorder="1" applyFont="1"/>
    <xf borderId="3" fillId="10" fontId="3" numFmtId="0" xfId="0" applyBorder="1" applyFont="1"/>
    <xf borderId="3" fillId="10" fontId="3" numFmtId="168" xfId="0" applyAlignment="1" applyBorder="1" applyFont="1" applyNumberFormat="1">
      <alignment horizontal="left"/>
    </xf>
    <xf borderId="49" fillId="10" fontId="3" numFmtId="0" xfId="0" applyAlignment="1" applyBorder="1" applyFont="1">
      <alignment horizontal="right"/>
    </xf>
    <xf borderId="49" fillId="10" fontId="3" numFmtId="166" xfId="0" applyAlignment="1" applyBorder="1" applyFont="1" applyNumberFormat="1">
      <alignment horizontal="right" vertical="center"/>
    </xf>
    <xf borderId="49" fillId="10" fontId="3" numFmtId="9" xfId="0" applyAlignment="1" applyBorder="1" applyFont="1" applyNumberFormat="1">
      <alignment horizontal="right"/>
    </xf>
    <xf borderId="49" fillId="10" fontId="3" numFmtId="169" xfId="0" applyAlignment="1" applyBorder="1" applyFont="1" applyNumberFormat="1">
      <alignment horizontal="right" vertical="center"/>
    </xf>
    <xf borderId="0" fillId="0" fontId="3" numFmtId="0" xfId="0" applyAlignment="1" applyFont="1">
      <alignment horizontal="center" vertical="center"/>
    </xf>
    <xf borderId="49" fillId="10" fontId="3" numFmtId="168" xfId="0" applyAlignment="1" applyBorder="1" applyFont="1" applyNumberFormat="1">
      <alignment horizontal="right" vertical="center"/>
    </xf>
    <xf borderId="49" fillId="10" fontId="3" numFmtId="9" xfId="0" applyAlignment="1" applyBorder="1" applyFont="1" applyNumberFormat="1">
      <alignment horizontal="right" vertical="center"/>
    </xf>
    <xf borderId="50" fillId="10" fontId="3" numFmtId="0" xfId="0" applyAlignment="1" applyBorder="1" applyFont="1">
      <alignment horizontal="left" vertical="center"/>
    </xf>
    <xf borderId="51" fillId="10" fontId="3" numFmtId="0" xfId="0" applyAlignment="1" applyBorder="1" applyFont="1">
      <alignment vertical="center"/>
    </xf>
    <xf borderId="52" fillId="10" fontId="3" numFmtId="10" xfId="0" applyAlignment="1" applyBorder="1" applyFont="1" applyNumberFormat="1">
      <alignment horizontal="right" vertical="center"/>
    </xf>
    <xf borderId="50" fillId="10" fontId="3" numFmtId="0" xfId="0" applyBorder="1" applyFont="1"/>
    <xf borderId="51" fillId="10" fontId="3" numFmtId="0" xfId="0" applyAlignment="1" applyBorder="1" applyFont="1">
      <alignment horizontal="right"/>
    </xf>
    <xf borderId="51" fillId="10" fontId="3" numFmtId="10" xfId="0" applyAlignment="1" applyBorder="1" applyFont="1" applyNumberFormat="1">
      <alignment horizontal="left" vertical="center"/>
    </xf>
    <xf borderId="51" fillId="10" fontId="3" numFmtId="0" xfId="0" applyBorder="1" applyFont="1"/>
    <xf borderId="52" fillId="10" fontId="3" numFmtId="10" xfId="0" applyAlignment="1" applyBorder="1" applyFont="1" applyNumberFormat="1">
      <alignment horizontal="right"/>
    </xf>
    <xf borderId="0" fillId="0" fontId="3" numFmtId="170" xfId="0" applyAlignment="1" applyFont="1" applyNumberFormat="1">
      <alignment vertical="center"/>
    </xf>
    <xf borderId="53" fillId="11" fontId="14" numFmtId="0" xfId="0" applyAlignment="1" applyBorder="1" applyFill="1" applyFont="1">
      <alignment horizontal="left" vertical="center"/>
    </xf>
    <xf borderId="53" fillId="11" fontId="3" numFmtId="0" xfId="0" applyAlignment="1" applyBorder="1" applyFont="1">
      <alignment horizontal="center"/>
    </xf>
    <xf borderId="41" fillId="0" fontId="15" numFmtId="0" xfId="0" applyBorder="1" applyFont="1"/>
    <xf borderId="53" fillId="11" fontId="3" numFmtId="171" xfId="0" applyBorder="1" applyFont="1" applyNumberFormat="1"/>
    <xf borderId="41" fillId="0" fontId="15" numFmtId="170" xfId="0" applyBorder="1" applyFont="1" applyNumberFormat="1"/>
    <xf borderId="0" fillId="0" fontId="15" numFmtId="0" xfId="0" applyFont="1"/>
    <xf borderId="3" fillId="11" fontId="14" numFmtId="0" xfId="0" applyAlignment="1" applyBorder="1" applyFont="1">
      <alignment horizontal="left" vertical="center"/>
    </xf>
    <xf borderId="3" fillId="11" fontId="3" numFmtId="0" xfId="0" applyAlignment="1" applyBorder="1" applyFont="1">
      <alignment horizontal="center"/>
    </xf>
    <xf borderId="3" fillId="11" fontId="3" numFmtId="171" xfId="0" applyBorder="1" applyFont="1" applyNumberFormat="1"/>
    <xf borderId="3" fillId="2" fontId="16" numFmtId="0" xfId="0" applyBorder="1" applyFont="1"/>
    <xf borderId="3" fillId="11" fontId="16" numFmtId="9" xfId="0" applyAlignment="1" applyBorder="1" applyFont="1" applyNumberFormat="1">
      <alignment horizontal="center" vertical="center"/>
    </xf>
    <xf borderId="3" fillId="2" fontId="16" numFmtId="167" xfId="0" applyAlignment="1" applyBorder="1" applyFont="1" applyNumberFormat="1">
      <alignment horizontal="center" vertical="center"/>
    </xf>
    <xf borderId="3" fillId="2" fontId="16" numFmtId="10" xfId="0" applyAlignment="1" applyBorder="1" applyFont="1" applyNumberFormat="1">
      <alignment horizontal="right" vertical="center"/>
    </xf>
    <xf borderId="3" fillId="11" fontId="3" numFmtId="171" xfId="0" applyAlignment="1" applyBorder="1" applyFont="1" applyNumberFormat="1">
      <alignment horizontal="right"/>
    </xf>
    <xf borderId="3" fillId="2" fontId="16" numFmtId="9" xfId="0" applyAlignment="1" applyBorder="1" applyFont="1" applyNumberFormat="1">
      <alignment horizontal="center" vertical="center"/>
    </xf>
    <xf borderId="54" fillId="2" fontId="16" numFmtId="10" xfId="0" applyAlignment="1" applyBorder="1" applyFont="1" applyNumberFormat="1">
      <alignment horizontal="right" vertical="center"/>
    </xf>
    <xf borderId="3" fillId="2" fontId="17" numFmtId="170" xfId="0" applyAlignment="1" applyBorder="1" applyFont="1" applyNumberFormat="1">
      <alignment horizontal="center" vertical="center"/>
    </xf>
    <xf borderId="3" fillId="2" fontId="17" numFmtId="9" xfId="0" applyAlignment="1" applyBorder="1" applyFont="1" applyNumberFormat="1">
      <alignment horizontal="center" vertical="center"/>
    </xf>
    <xf borderId="3" fillId="2" fontId="16" numFmtId="0" xfId="0" applyAlignment="1" applyBorder="1" applyFont="1">
      <alignment vertical="center"/>
    </xf>
    <xf borderId="3" fillId="2" fontId="16" numFmtId="10" xfId="0" applyAlignment="1" applyBorder="1" applyFont="1" applyNumberFormat="1">
      <alignment horizontal="center" vertical="center"/>
    </xf>
    <xf borderId="3" fillId="2" fontId="18" numFmtId="0" xfId="0" applyAlignment="1" applyBorder="1" applyFont="1">
      <alignment horizontal="right" vertical="center"/>
    </xf>
    <xf borderId="55" fillId="2" fontId="19" numFmtId="0" xfId="0" applyAlignment="1" applyBorder="1" applyFont="1">
      <alignment vertical="center"/>
    </xf>
    <xf borderId="55" fillId="2" fontId="16" numFmtId="0" xfId="0" applyAlignment="1" applyBorder="1" applyFont="1">
      <alignment vertical="center"/>
    </xf>
    <xf borderId="55" fillId="2" fontId="16" numFmtId="10" xfId="0" applyAlignment="1" applyBorder="1" applyFont="1" applyNumberFormat="1">
      <alignment horizontal="center" vertical="center"/>
    </xf>
    <xf borderId="0" fillId="0" fontId="15" numFmtId="0" xfId="0" applyAlignment="1" applyFont="1">
      <alignment horizontal="left"/>
    </xf>
    <xf borderId="3" fillId="2" fontId="19" numFmtId="0" xfId="0" applyAlignment="1" applyBorder="1" applyFont="1">
      <alignment vertical="center"/>
    </xf>
    <xf borderId="0" fillId="0" fontId="15" numFmtId="170" xfId="0" applyFont="1" applyNumberFormat="1"/>
    <xf borderId="0" fillId="0" fontId="3" numFmtId="164" xfId="0" applyFont="1" applyNumberFormat="1"/>
    <xf borderId="3" fillId="12" fontId="20" numFmtId="170" xfId="0" applyBorder="1" applyFill="1" applyFont="1" applyNumberFormat="1"/>
    <xf borderId="3" fillId="12" fontId="3" numFmtId="170" xfId="0" applyBorder="1" applyFont="1" applyNumberFormat="1"/>
    <xf borderId="56" fillId="2" fontId="17" numFmtId="0" xfId="0" applyAlignment="1" applyBorder="1" applyFont="1">
      <alignment horizontal="center" shrinkToFit="0" vertical="center" wrapText="1"/>
    </xf>
    <xf borderId="57" fillId="2" fontId="17" numFmtId="0" xfId="0" applyAlignment="1" applyBorder="1" applyFont="1">
      <alignment horizontal="center" shrinkToFit="0" vertical="center" wrapText="1"/>
    </xf>
    <xf borderId="58" fillId="2" fontId="17" numFmtId="0" xfId="0" applyAlignment="1" applyBorder="1" applyFont="1">
      <alignment horizontal="center" shrinkToFit="0" vertical="center" wrapText="1"/>
    </xf>
    <xf borderId="59" fillId="13" fontId="3" numFmtId="0" xfId="0" applyAlignment="1" applyBorder="1" applyFill="1" applyFont="1">
      <alignment horizontal="center" vertical="center"/>
    </xf>
    <xf borderId="60" fillId="11" fontId="3" numFmtId="17" xfId="0" applyAlignment="1" applyBorder="1" applyFont="1" applyNumberFormat="1">
      <alignment horizontal="center" vertical="center"/>
    </xf>
    <xf borderId="60" fillId="0" fontId="20" numFmtId="170" xfId="0" applyAlignment="1" applyBorder="1" applyFont="1" applyNumberFormat="1">
      <alignment horizontal="center" vertical="center"/>
    </xf>
    <xf borderId="60" fillId="0" fontId="3" numFmtId="170" xfId="0" applyAlignment="1" applyBorder="1" applyFont="1" applyNumberFormat="1">
      <alignment horizontal="center" vertical="center"/>
    </xf>
    <xf borderId="0" fillId="0" fontId="16" numFmtId="170" xfId="0" applyFont="1" applyNumberFormat="1"/>
    <xf borderId="60" fillId="0" fontId="3" numFmtId="9" xfId="0" applyAlignment="1" applyBorder="1" applyFont="1" applyNumberFormat="1">
      <alignment horizontal="center" vertical="center"/>
    </xf>
    <xf borderId="61" fillId="0" fontId="3" numFmtId="170" xfId="0" applyAlignment="1" applyBorder="1" applyFont="1" applyNumberFormat="1">
      <alignment horizontal="center" vertical="center"/>
    </xf>
    <xf borderId="62" fillId="13" fontId="3" numFmtId="0" xfId="0" applyAlignment="1" applyBorder="1" applyFont="1">
      <alignment horizontal="center" vertical="center"/>
    </xf>
    <xf borderId="63" fillId="11" fontId="3" numFmtId="17" xfId="0" applyAlignment="1" applyBorder="1" applyFont="1" applyNumberFormat="1">
      <alignment horizontal="center" vertical="center"/>
    </xf>
    <xf borderId="63" fillId="0" fontId="3" numFmtId="170" xfId="0" applyAlignment="1" applyBorder="1" applyFont="1" applyNumberFormat="1">
      <alignment horizontal="center" vertical="center"/>
    </xf>
    <xf borderId="63" fillId="0" fontId="3" numFmtId="9" xfId="0" applyAlignment="1" applyBorder="1" applyFont="1" applyNumberFormat="1">
      <alignment horizontal="center" vertical="center"/>
    </xf>
    <xf borderId="64" fillId="0" fontId="3" numFmtId="170" xfId="0" applyAlignment="1" applyBorder="1" applyFont="1" applyNumberFormat="1">
      <alignment horizontal="center" vertical="center"/>
    </xf>
    <xf borderId="0" fillId="0" fontId="3" numFmtId="170" xfId="0" applyFont="1" applyNumberFormat="1"/>
    <xf borderId="3" fillId="2" fontId="1" numFmtId="0" xfId="0" applyAlignment="1" applyBorder="1" applyFont="1">
      <alignment horizontal="center" vertical="center"/>
    </xf>
    <xf borderId="0" fillId="0" fontId="3" numFmtId="0" xfId="0" applyAlignment="1" applyFont="1">
      <alignment shrinkToFit="0" wrapText="1"/>
    </xf>
    <xf borderId="14" fillId="6" fontId="5" numFmtId="0" xfId="0" applyAlignment="1" applyBorder="1" applyFont="1">
      <alignment horizontal="left" shrinkToFit="0" vertical="center" wrapText="1"/>
    </xf>
    <xf borderId="14" fillId="5" fontId="21" numFmtId="0" xfId="0" applyAlignment="1" applyBorder="1" applyFont="1">
      <alignment horizontal="left" shrinkToFit="0" vertical="center" wrapText="1"/>
    </xf>
    <xf borderId="0" fillId="0" fontId="3" numFmtId="9" xfId="0" applyFont="1" applyNumberFormat="1"/>
    <xf borderId="65" fillId="0" fontId="2" numFmtId="0" xfId="0" applyBorder="1" applyFont="1"/>
    <xf borderId="49" fillId="10" fontId="3" numFmtId="10" xfId="0" applyAlignment="1" applyBorder="1" applyFont="1" applyNumberFormat="1">
      <alignment horizontal="right"/>
    </xf>
    <xf borderId="0" fillId="0" fontId="3" numFmtId="172" xfId="0" applyFont="1" applyNumberFormat="1"/>
    <xf borderId="66" fillId="2" fontId="17" numFmtId="0" xfId="0" applyAlignment="1" applyBorder="1" applyFont="1">
      <alignment horizontal="center" shrinkToFit="0" vertical="center" wrapText="1"/>
    </xf>
    <xf borderId="67" fillId="2" fontId="17" numFmtId="0" xfId="0" applyAlignment="1" applyBorder="1" applyFont="1">
      <alignment horizontal="center" shrinkToFit="0" vertical="center" wrapText="1"/>
    </xf>
    <xf borderId="68" fillId="2" fontId="17" numFmtId="0" xfId="0" applyAlignment="1" applyBorder="1" applyFont="1">
      <alignment horizontal="center" shrinkToFit="0" vertical="center" wrapText="1"/>
    </xf>
    <xf borderId="69" fillId="13" fontId="3" numFmtId="0" xfId="0" applyAlignment="1" applyBorder="1" applyFont="1">
      <alignment horizontal="center" vertical="center"/>
    </xf>
    <xf borderId="70" fillId="11" fontId="3" numFmtId="17" xfId="0" applyAlignment="1" applyBorder="1" applyFont="1" applyNumberFormat="1">
      <alignment horizontal="center" vertical="center"/>
    </xf>
    <xf borderId="70" fillId="0" fontId="20" numFmtId="170" xfId="0" applyAlignment="1" applyBorder="1" applyFont="1" applyNumberFormat="1">
      <alignment horizontal="center" vertical="center"/>
    </xf>
    <xf borderId="70" fillId="0" fontId="3" numFmtId="170" xfId="0" applyAlignment="1" applyBorder="1" applyFont="1" applyNumberFormat="1">
      <alignment horizontal="center" vertical="center"/>
    </xf>
    <xf borderId="70" fillId="0" fontId="16" numFmtId="170" xfId="0" applyBorder="1" applyFont="1" applyNumberFormat="1"/>
    <xf borderId="70" fillId="0" fontId="3" numFmtId="9" xfId="0" applyAlignment="1" applyBorder="1" applyFont="1" applyNumberFormat="1">
      <alignment horizontal="center" vertical="center"/>
    </xf>
    <xf borderId="71" fillId="0" fontId="3" numFmtId="170" xfId="0" applyAlignment="1" applyBorder="1" applyFont="1" applyNumberFormat="1">
      <alignment horizontal="center" vertical="center"/>
    </xf>
    <xf borderId="72" fillId="13" fontId="3" numFmtId="0" xfId="0" applyAlignment="1" applyBorder="1" applyFont="1">
      <alignment horizontal="center" vertical="center"/>
    </xf>
    <xf borderId="73" fillId="11" fontId="3" numFmtId="17" xfId="0" applyAlignment="1" applyBorder="1" applyFont="1" applyNumberFormat="1">
      <alignment horizontal="center" vertical="center"/>
    </xf>
    <xf borderId="73" fillId="0" fontId="3" numFmtId="170" xfId="0" applyAlignment="1" applyBorder="1" applyFont="1" applyNumberFormat="1">
      <alignment horizontal="center" vertical="center"/>
    </xf>
    <xf borderId="73" fillId="0" fontId="3" numFmtId="9" xfId="0" applyAlignment="1" applyBorder="1" applyFont="1" applyNumberFormat="1">
      <alignment horizontal="center" vertical="center"/>
    </xf>
    <xf borderId="74" fillId="0" fontId="3" numFmtId="170" xfId="0" applyAlignment="1" applyBorder="1" applyFont="1" applyNumberFormat="1">
      <alignment horizontal="center" vertical="center"/>
    </xf>
    <xf borderId="75" fillId="13" fontId="3" numFmtId="0" xfId="0" applyAlignment="1" applyBorder="1" applyFont="1">
      <alignment horizontal="center" vertical="center"/>
    </xf>
    <xf borderId="76" fillId="11" fontId="3" numFmtId="17" xfId="0" applyAlignment="1" applyBorder="1" applyFont="1" applyNumberFormat="1">
      <alignment horizontal="center" vertical="center"/>
    </xf>
    <xf borderId="76" fillId="0" fontId="3" numFmtId="170" xfId="0" applyAlignment="1" applyBorder="1" applyFont="1" applyNumberFormat="1">
      <alignment horizontal="center" vertical="center"/>
    </xf>
    <xf borderId="76" fillId="0" fontId="3" numFmtId="9" xfId="0" applyAlignment="1" applyBorder="1" applyFont="1" applyNumberFormat="1">
      <alignment horizontal="center" vertical="center"/>
    </xf>
    <xf borderId="77" fillId="0" fontId="3" numFmtId="170" xfId="0" applyAlignment="1" applyBorder="1" applyFont="1" applyNumberFormat="1">
      <alignment horizontal="center" vertical="center"/>
    </xf>
    <xf borderId="3" fillId="11" fontId="3" numFmtId="17" xfId="0" applyAlignment="1" applyBorder="1" applyFont="1" applyNumberFormat="1">
      <alignment horizontal="center" vertical="center"/>
    </xf>
    <xf borderId="0" fillId="0" fontId="3" numFmtId="170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0" fillId="0" fontId="3" numFmtId="171" xfId="0" applyFont="1" applyNumberFormat="1"/>
  </cellXfs>
  <cellStyles count="1">
    <cellStyle xfId="0" name="Normal" builtinId="0"/>
  </cellStyles>
  <dxfs count="2">
    <dxf>
      <font>
        <b/>
        <color rgb="FFFF0000"/>
      </font>
      <fill>
        <patternFill patternType="none"/>
      </fill>
      <border/>
    </dxf>
    <dxf>
      <font>
        <b/>
        <color rgb="FF00B05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438900" cy="3943350"/>
    <xdr:sp>
      <xdr:nvSpPr>
        <xdr:cNvPr id="3" name="Shape 3"/>
        <xdr:cNvSpPr txBox="1"/>
      </xdr:nvSpPr>
      <xdr:spPr>
        <a:xfrm>
          <a:off x="2131313" y="1813088"/>
          <a:ext cx="6429375" cy="39338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391275" cy="3981450"/>
    <xdr:sp>
      <xdr:nvSpPr>
        <xdr:cNvPr id="4" name="Shape 4"/>
        <xdr:cNvSpPr txBox="1"/>
      </xdr:nvSpPr>
      <xdr:spPr>
        <a:xfrm>
          <a:off x="2155125" y="1794038"/>
          <a:ext cx="6381750" cy="39719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267450" cy="3952875"/>
    <xdr:sp>
      <xdr:nvSpPr>
        <xdr:cNvPr id="5" name="Shape 5"/>
        <xdr:cNvSpPr txBox="1"/>
      </xdr:nvSpPr>
      <xdr:spPr>
        <a:xfrm>
          <a:off x="2217038" y="1808325"/>
          <a:ext cx="6257925" cy="39433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267450" cy="3943350"/>
    <xdr:sp>
      <xdr:nvSpPr>
        <xdr:cNvPr id="6" name="Shape 6"/>
        <xdr:cNvSpPr txBox="1"/>
      </xdr:nvSpPr>
      <xdr:spPr>
        <a:xfrm>
          <a:off x="2217038" y="1813088"/>
          <a:ext cx="6257925" cy="39338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305550" cy="3971925"/>
    <xdr:sp>
      <xdr:nvSpPr>
        <xdr:cNvPr id="7" name="Shape 7"/>
        <xdr:cNvSpPr txBox="1"/>
      </xdr:nvSpPr>
      <xdr:spPr>
        <a:xfrm>
          <a:off x="2197988" y="1798800"/>
          <a:ext cx="6296025" cy="39624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38100</xdr:colOff>
      <xdr:row>10</xdr:row>
      <xdr:rowOff>0</xdr:rowOff>
    </xdr:from>
    <xdr:ext cx="6324600" cy="3952875"/>
    <xdr:sp>
      <xdr:nvSpPr>
        <xdr:cNvPr id="8" name="Shape 8"/>
        <xdr:cNvSpPr txBox="1"/>
      </xdr:nvSpPr>
      <xdr:spPr>
        <a:xfrm>
          <a:off x="2188463" y="1808325"/>
          <a:ext cx="6315075" cy="39433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*ROI (Return on Investment) é uma métrica usada para avaliar o desempenho financeiro de um investimento. Ela mede a rentabilidade de um investimento em termos percentuais, comparando o lucro obtido com o custo do investimento. O ROI é calculado dividindo-se o lucro líquido pelo custo do investimento e multiplicando por 100 para obter uma porcentagem. Ele fornece uma visão geral do retorno obtido em relação ao investimento inicial.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Por outro lado, a TIR (Taxa Interna de Retorno) é uma métrica que mede a taxa de retorno de um investimento ao longo do tempo. Ela é usada para determinar a taxa de crescimento anualizada do capital investido, considerando tanto os fluxos de caixa positivos quanto os negativos ao longo da vida do investimento. A TIR é a taxa na qual o valor presente líquido (VPL) dos fluxos de caixa futuros de um investimento se torna zero.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cálculo da TIR pode ser complexo, pois envolve a equação do valor presente líquido e exige métodos iterativos para encontrar a taxa que iguala o VPL a zero. No entanto, a TIR é uma medida útil, pois indica a taxa de retorno necessária para que um investimento seja considerado viável.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resumo, enquanto o ROI mede a rentabilidade de um investimento em relação ao custo inicial, a TIR mede a taxa de retorno anualizada de um investimento levando em consideração todos os fluxos de caixa ao longo do tempo. O ROI é uma medida mais direta e simples, enquanto a TIR é uma medida mais abrangente e precisa, levando em consideração o valor do dinheiro no tempo. Ambas as métricas são importantes na avaliação de investimentos, mas cada uma tem seu próprio contexto de uso.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Datas e valores sugeridos estão sujeitos à alteração pós liquidação da oferta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Resumo%20nova%20modelagem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LUXO INVESTIDOR DIVIDA"/>
      <sheetName val="Fluxo Operacional"/>
      <sheetName val="Fluxo de caixa Projeto 2023"/>
      <sheetName val="Modelagem - Carrera V1"/>
      <sheetName val="Modelagem - Carrera V1 Nova"/>
      <sheetName val="Modelagem - Carrera V2"/>
      <sheetName val="Modelagem - Carrera V3"/>
      <sheetName val="Esclarecimentos"/>
      <sheetName val="Prêmio risco mercado"/>
      <sheetName val="ETTJ"/>
      <sheetName val="Modelagem Moreco 1."/>
      <sheetName val="Visão sistêmica da Empresa"/>
      <sheetName val="Planilha1"/>
      <sheetName val="Proposta 1"/>
      <sheetName val="Modelagem da dívida"/>
      <sheetName val="Modelagem da dívida (2)"/>
      <sheetName val="Proposta"/>
      <sheetName val="Dívidas"/>
      <sheetName val="Contraproposta"/>
      <sheetName val="Proposta atual"/>
      <sheetName val="Fluxo de caixa - Recebíveis"/>
      <sheetName val="Garantia - Recebíveis"/>
      <sheetName val="FLUXO DE CAIXA"/>
      <sheetName val="Garantia - Imobilizado"/>
      <sheetName val="Tabela IGPM"/>
      <sheetName val="Disposições para garant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mailto:atendimento@smu.com.vc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0.86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1.57"/>
    <col customWidth="1" min="18" max="20" width="12.43"/>
    <col customWidth="1" min="21" max="21" width="2.14"/>
    <col customWidth="1" min="22" max="22" width="13.29"/>
    <col customWidth="1" min="23" max="23" width="17.0"/>
    <col customWidth="1" min="24" max="24" width="2.14"/>
    <col customWidth="1" min="25" max="25" width="15.14"/>
    <col customWidth="1" min="26" max="26" width="2.14"/>
    <col customWidth="1" min="29" max="29" width="12.29"/>
    <col customWidth="1" min="31" max="31" width="15.43"/>
    <col customWidth="1" min="32" max="37" width="12.71"/>
  </cols>
  <sheetData>
    <row r="1" ht="12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2.0" customHeight="1">
      <c r="A2" s="5"/>
      <c r="Q2" s="3" t="s">
        <v>1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ht="25.5" customHeight="1">
      <c r="A3" s="5"/>
      <c r="Q3" s="3" t="s">
        <v>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ht="12.0" customHeight="1">
      <c r="A4" s="5"/>
      <c r="Q4" s="3" t="s">
        <v>1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ht="12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 t="s">
        <v>1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ht="12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 t="s">
        <v>1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2.0" customHeight="1">
      <c r="A7" s="4"/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3" t="s">
        <v>1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ht="12.0" customHeight="1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3" t="s">
        <v>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ht="12.0" customHeight="1">
      <c r="A9" s="4"/>
      <c r="B9" s="15" t="s">
        <v>5</v>
      </c>
      <c r="C9" s="16"/>
      <c r="D9" s="17" t="s">
        <v>6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3" t="s">
        <v>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ht="72.0" customHeight="1">
      <c r="A10" s="4"/>
      <c r="B10" s="20" t="s">
        <v>7</v>
      </c>
      <c r="C10" s="21"/>
      <c r="D10" s="22" t="s">
        <v>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3" t="s">
        <v>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ht="12.0" customHeight="1">
      <c r="A11" s="4"/>
      <c r="B11" s="15" t="s">
        <v>9</v>
      </c>
      <c r="C11" s="16"/>
      <c r="D11" s="25">
        <f>G62</f>
        <v>0.3060499899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3" t="s">
        <v>1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ht="12.0" customHeight="1">
      <c r="A12" s="4"/>
      <c r="B12" s="20" t="s">
        <v>10</v>
      </c>
      <c r="C12" s="21"/>
      <c r="D12" s="26" t="s">
        <v>11</v>
      </c>
      <c r="E12" s="12"/>
      <c r="F12" s="12"/>
      <c r="G12" s="27"/>
      <c r="H12" s="28"/>
      <c r="I12" s="28"/>
      <c r="J12" s="28"/>
      <c r="K12" s="28"/>
      <c r="L12" s="27"/>
      <c r="M12" s="27"/>
      <c r="N12" s="27"/>
      <c r="O12" s="28"/>
      <c r="P12" s="4"/>
      <c r="Q12" s="3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ht="12.0" customHeight="1">
      <c r="A13" s="4"/>
      <c r="B13" s="15" t="s">
        <v>12</v>
      </c>
      <c r="C13" s="16"/>
      <c r="D13" s="29">
        <f>C39</f>
        <v>500000</v>
      </c>
      <c r="E13" s="12"/>
      <c r="F13" s="12"/>
      <c r="G13" s="18"/>
      <c r="H13" s="19"/>
      <c r="I13" s="19"/>
      <c r="J13" s="19"/>
      <c r="K13" s="19"/>
      <c r="L13" s="18"/>
      <c r="M13" s="18"/>
      <c r="N13" s="18"/>
      <c r="O13" s="19"/>
      <c r="P13" s="4"/>
      <c r="Q13" s="3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ht="12.0" customHeight="1">
      <c r="A14" s="4"/>
      <c r="B14" s="20" t="s">
        <v>13</v>
      </c>
      <c r="C14" s="21"/>
      <c r="D14" s="30">
        <v>3000.0</v>
      </c>
      <c r="E14" s="12"/>
      <c r="F14" s="12"/>
      <c r="G14" s="27"/>
      <c r="H14" s="28"/>
      <c r="I14" s="28"/>
      <c r="J14" s="28"/>
      <c r="K14" s="28"/>
      <c r="L14" s="27"/>
      <c r="M14" s="27"/>
      <c r="N14" s="27"/>
      <c r="O14" s="28"/>
      <c r="P14" s="4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ht="12.0" customHeight="1">
      <c r="A15" s="4"/>
      <c r="B15" s="15" t="s">
        <v>14</v>
      </c>
      <c r="C15" s="16"/>
      <c r="D15" s="17" t="s">
        <v>15</v>
      </c>
      <c r="E15" s="12"/>
      <c r="F15" s="12"/>
      <c r="G15" s="18"/>
      <c r="H15" s="19"/>
      <c r="I15" s="19"/>
      <c r="J15" s="19"/>
      <c r="K15" s="19"/>
      <c r="L15" s="18"/>
      <c r="M15" s="18"/>
      <c r="N15" s="18"/>
      <c r="O15" s="19"/>
      <c r="P15" s="4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ht="132.75" customHeight="1">
      <c r="A16" s="4"/>
      <c r="B16" s="20" t="s">
        <v>16</v>
      </c>
      <c r="C16" s="21"/>
      <c r="D16" s="22" t="s">
        <v>17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3" t="s">
        <v>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ht="12.0" customHeight="1">
      <c r="A17" s="4"/>
      <c r="B17" s="15" t="s">
        <v>18</v>
      </c>
      <c r="C17" s="16"/>
      <c r="D17" s="17" t="s">
        <v>19</v>
      </c>
      <c r="E17" s="12"/>
      <c r="F17" s="12"/>
      <c r="G17" s="18"/>
      <c r="H17" s="19"/>
      <c r="I17" s="19"/>
      <c r="J17" s="19"/>
      <c r="K17" s="19"/>
      <c r="L17" s="18"/>
      <c r="M17" s="18"/>
      <c r="N17" s="18"/>
      <c r="O17" s="19"/>
      <c r="P17" s="4"/>
      <c r="Q17" s="3" t="s">
        <v>1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ht="45.75" customHeight="1">
      <c r="A18" s="4"/>
      <c r="B18" s="20" t="s">
        <v>20</v>
      </c>
      <c r="C18" s="21"/>
      <c r="D18" s="31" t="s">
        <v>21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4"/>
      <c r="Q18" s="3" t="s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ht="12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 t="s">
        <v>1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ht="12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 t="s">
        <v>1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ht="12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 t="s">
        <v>1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ht="24.75" customHeight="1">
      <c r="A22" s="4"/>
      <c r="B22" s="34" t="s">
        <v>22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4"/>
      <c r="O22" s="4"/>
      <c r="P22" s="4"/>
      <c r="Q22" s="3" t="s">
        <v>1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ht="2.25" customHeight="1">
      <c r="A23" s="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4"/>
      <c r="O23" s="4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ht="18.75" customHeight="1">
      <c r="A24" s="4"/>
      <c r="B24" s="40" t="s">
        <v>23</v>
      </c>
      <c r="C24" s="41" t="s">
        <v>24</v>
      </c>
      <c r="D24" s="42"/>
      <c r="E24" s="38"/>
      <c r="F24" s="38"/>
      <c r="G24" s="43" t="s">
        <v>25</v>
      </c>
      <c r="H24" s="38"/>
      <c r="I24" s="38"/>
      <c r="J24" s="38"/>
      <c r="K24" s="38"/>
      <c r="L24" s="38"/>
      <c r="M24" s="44" t="s">
        <v>26</v>
      </c>
      <c r="N24" s="4"/>
      <c r="O24" s="4"/>
      <c r="P24" s="4"/>
      <c r="Q24" s="3" t="s">
        <v>1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ht="18.75" customHeight="1">
      <c r="A25" s="4"/>
      <c r="B25" s="45"/>
      <c r="C25" s="46"/>
      <c r="D25" s="47"/>
      <c r="E25" s="38"/>
      <c r="F25" s="38"/>
      <c r="G25" s="48"/>
      <c r="H25" s="38"/>
      <c r="I25" s="38"/>
      <c r="J25" s="38"/>
      <c r="K25" s="38"/>
      <c r="L25" s="38"/>
      <c r="M25" s="49"/>
      <c r="N25" s="4"/>
      <c r="O25" s="4"/>
      <c r="P25" s="4"/>
      <c r="Q25" s="3" t="s">
        <v>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ht="4.5" customHeight="1">
      <c r="A26" s="4"/>
      <c r="B26" s="50"/>
      <c r="C26" s="51"/>
      <c r="D26" s="51"/>
      <c r="E26" s="38"/>
      <c r="F26" s="38"/>
      <c r="G26" s="38"/>
      <c r="H26" s="38"/>
      <c r="I26" s="38"/>
      <c r="J26" s="38"/>
      <c r="K26" s="38"/>
      <c r="L26" s="38"/>
      <c r="M26" s="52"/>
      <c r="N26" s="4"/>
      <c r="O26" s="4"/>
      <c r="P26" s="4"/>
      <c r="Q26" s="3" t="s">
        <v>1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ht="18.75" customHeight="1">
      <c r="A27" s="4"/>
      <c r="B27" s="53" t="s">
        <v>27</v>
      </c>
      <c r="C27" s="54">
        <v>10000.0</v>
      </c>
      <c r="D27" s="42"/>
      <c r="E27" s="38"/>
      <c r="F27" s="38"/>
      <c r="G27" s="55" t="s">
        <v>28</v>
      </c>
      <c r="H27" s="38"/>
      <c r="I27" s="38"/>
      <c r="J27" s="38"/>
      <c r="K27" s="38"/>
      <c r="L27" s="38"/>
      <c r="M27" s="56">
        <v>3000.0</v>
      </c>
      <c r="N27" s="4"/>
      <c r="O27" s="4"/>
      <c r="P27" s="4"/>
      <c r="Q27" s="3" t="s">
        <v>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18.75" customHeight="1">
      <c r="A28" s="4"/>
      <c r="B28" s="57"/>
      <c r="C28" s="46"/>
      <c r="D28" s="47"/>
      <c r="E28" s="38"/>
      <c r="F28" s="38"/>
      <c r="G28" s="48"/>
      <c r="H28" s="38"/>
      <c r="I28" s="38"/>
      <c r="J28" s="38"/>
      <c r="K28" s="38"/>
      <c r="L28" s="38"/>
      <c r="M28" s="49"/>
      <c r="N28" s="4"/>
      <c r="O28" s="4"/>
      <c r="P28" s="4"/>
      <c r="Q28" s="3" t="s">
        <v>1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4.5" customHeight="1">
      <c r="A29" s="4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4"/>
      <c r="O29" s="4"/>
      <c r="P29" s="4"/>
      <c r="Q29" s="3" t="s">
        <v>1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18.75" customHeight="1">
      <c r="A30" s="4"/>
      <c r="B30" s="53" t="s">
        <v>29</v>
      </c>
      <c r="C30" s="58">
        <f>SUM(G73:G90)</f>
        <v>12692.17548</v>
      </c>
      <c r="D30" s="42"/>
      <c r="E30" s="38"/>
      <c r="F30" s="38"/>
      <c r="G30" s="55" t="s">
        <v>30</v>
      </c>
      <c r="H30" s="38"/>
      <c r="I30" s="38"/>
      <c r="J30" s="38"/>
      <c r="K30" s="38"/>
      <c r="L30" s="38"/>
      <c r="M30" s="59">
        <f>(C30-C27)/C27</f>
        <v>0.2692175484</v>
      </c>
      <c r="N30" s="4"/>
      <c r="O30" s="4"/>
      <c r="P30" s="4"/>
      <c r="Q30" s="3" t="s">
        <v>1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18.75" customHeight="1">
      <c r="A31" s="4"/>
      <c r="B31" s="57"/>
      <c r="C31" s="46"/>
      <c r="D31" s="47"/>
      <c r="E31" s="38"/>
      <c r="F31" s="38"/>
      <c r="G31" s="48"/>
      <c r="H31" s="38"/>
      <c r="I31" s="38"/>
      <c r="J31" s="38"/>
      <c r="K31" s="38"/>
      <c r="L31" s="38"/>
      <c r="M31" s="49"/>
      <c r="N31" s="4"/>
      <c r="O31" s="4"/>
      <c r="P31" s="4"/>
      <c r="Q31" s="3" t="s">
        <v>1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4.5" customHeight="1">
      <c r="A32" s="4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4"/>
      <c r="O32" s="4"/>
      <c r="P32" s="4"/>
      <c r="Q32" s="3" t="s">
        <v>1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18.75" customHeight="1">
      <c r="A33" s="4"/>
      <c r="B33" s="53" t="s">
        <v>31</v>
      </c>
      <c r="C33" s="60">
        <f>SUM(L72:L90)</f>
        <v>-560.8698926</v>
      </c>
      <c r="D33" s="42"/>
      <c r="E33" s="38"/>
      <c r="F33" s="38"/>
      <c r="G33" s="55" t="s">
        <v>32</v>
      </c>
      <c r="H33" s="38"/>
      <c r="I33" s="38"/>
      <c r="J33" s="38"/>
      <c r="K33" s="38"/>
      <c r="L33" s="38"/>
      <c r="M33" s="59">
        <f>(C30+C33-C27)/C27</f>
        <v>0.2131305592</v>
      </c>
      <c r="N33" s="4"/>
      <c r="O33" s="4"/>
      <c r="P33" s="4"/>
      <c r="Q33" s="3" t="s">
        <v>1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18.75" customHeight="1">
      <c r="A34" s="4"/>
      <c r="B34" s="61"/>
      <c r="C34" s="62"/>
      <c r="D34" s="63"/>
      <c r="E34" s="64"/>
      <c r="F34" s="64"/>
      <c r="G34" s="48"/>
      <c r="H34" s="64"/>
      <c r="I34" s="64"/>
      <c r="J34" s="64"/>
      <c r="K34" s="64"/>
      <c r="L34" s="64"/>
      <c r="M34" s="65"/>
      <c r="N34" s="4"/>
      <c r="O34" s="4"/>
      <c r="P34" s="4"/>
      <c r="Q34" s="3" t="s">
        <v>1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12.0" customHeight="1">
      <c r="A35" s="4"/>
      <c r="B35" s="4"/>
      <c r="C35" s="66"/>
      <c r="D35" s="4"/>
      <c r="E35" s="4"/>
      <c r="F35" s="4"/>
      <c r="G35" s="67"/>
      <c r="H35" s="4"/>
      <c r="I35" s="4"/>
      <c r="J35" s="4"/>
      <c r="K35" s="4"/>
      <c r="L35" s="4"/>
      <c r="M35" s="4"/>
      <c r="N35" s="4"/>
      <c r="O35" s="4"/>
      <c r="P35" s="4"/>
      <c r="Q35" s="3" t="s">
        <v>1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12.0" customHeight="1">
      <c r="A36" s="4"/>
      <c r="B36" s="4"/>
      <c r="C36" s="4"/>
      <c r="D36" s="4"/>
      <c r="E36" s="4"/>
      <c r="F36" s="4"/>
      <c r="G36" s="67"/>
      <c r="H36" s="4"/>
      <c r="I36" s="4"/>
      <c r="J36" s="4"/>
      <c r="K36" s="4"/>
      <c r="L36" s="4"/>
      <c r="M36" s="66">
        <v>0.0225</v>
      </c>
      <c r="N36" s="4"/>
      <c r="O36" s="4"/>
      <c r="P36" s="4"/>
      <c r="Q36" s="3" t="s">
        <v>1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12.0" customHeight="1">
      <c r="A37" s="4"/>
      <c r="B37" s="68"/>
      <c r="C37" s="4"/>
      <c r="D37" s="4"/>
      <c r="E37" s="4"/>
      <c r="F37" s="4"/>
      <c r="G37" s="66"/>
      <c r="H37" s="4"/>
      <c r="I37" s="4"/>
      <c r="J37" s="4"/>
      <c r="K37" s="4"/>
      <c r="L37" s="4"/>
      <c r="M37" s="66">
        <f>((1+M36)^(12/1)-1)</f>
        <v>0.3060499899</v>
      </c>
      <c r="N37" s="4"/>
      <c r="O37" s="4"/>
      <c r="P37" s="4"/>
      <c r="Q37" s="3" t="s">
        <v>1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12.0" customHeight="1">
      <c r="A38" s="4"/>
      <c r="B38" s="4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3" t="s">
        <v>1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12.0" customHeight="1">
      <c r="A39" s="4"/>
      <c r="B39" s="69">
        <v>1.0</v>
      </c>
      <c r="C39" s="70">
        <v>500000.0</v>
      </c>
      <c r="D39" s="4" t="s">
        <v>33</v>
      </c>
      <c r="E39" s="4"/>
      <c r="F39" s="4"/>
      <c r="G39" s="66"/>
      <c r="H39" s="4"/>
      <c r="I39" s="4"/>
      <c r="J39" s="4"/>
      <c r="K39" s="4"/>
      <c r="L39" s="4"/>
      <c r="M39" s="4"/>
      <c r="N39" s="4"/>
      <c r="O39" s="4"/>
      <c r="P39" s="4"/>
      <c r="Q39" s="3" t="s">
        <v>1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12.0" customHeight="1">
      <c r="A40" s="4"/>
      <c r="B40" s="69">
        <v>0.66</v>
      </c>
      <c r="C40" s="70">
        <f>B40*C39</f>
        <v>330000</v>
      </c>
      <c r="D40" s="4" t="s">
        <v>34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 t="s">
        <v>1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12.0" customHeight="1">
      <c r="A41" s="4"/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 t="s">
        <v>1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12.0" customHeight="1">
      <c r="A42" s="4"/>
      <c r="B42" s="71" t="s">
        <v>35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 t="s">
        <v>1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6.0" customHeight="1">
      <c r="A43" s="4"/>
      <c r="B43" s="4"/>
      <c r="C43" s="4"/>
      <c r="D43" s="4"/>
      <c r="E43" s="72"/>
      <c r="F43" s="72"/>
      <c r="G43" s="72"/>
      <c r="H43" s="72"/>
      <c r="I43" s="4"/>
      <c r="J43" s="4"/>
      <c r="K43" s="4"/>
      <c r="L43" s="4"/>
      <c r="M43" s="4"/>
      <c r="N43" s="4"/>
      <c r="O43" s="4"/>
      <c r="P43" s="4"/>
      <c r="Q43" s="3" t="s">
        <v>1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72"/>
      <c r="AC43" s="72"/>
      <c r="AD43" s="72"/>
      <c r="AE43" s="72"/>
      <c r="AF43" s="72"/>
      <c r="AG43" s="72"/>
      <c r="AH43" s="72"/>
      <c r="AI43" s="72"/>
      <c r="AJ43" s="72"/>
      <c r="AK43" s="72"/>
    </row>
    <row r="44" ht="20.25" customHeight="1">
      <c r="A44" s="4"/>
      <c r="B44" s="73" t="s">
        <v>36</v>
      </c>
      <c r="C44" s="74"/>
      <c r="D44" s="73" t="s">
        <v>37</v>
      </c>
      <c r="E44" s="75"/>
      <c r="F44" s="75"/>
      <c r="G44" s="75"/>
      <c r="H44" s="4"/>
      <c r="I44" s="4"/>
      <c r="J44" s="4"/>
      <c r="K44" s="4"/>
      <c r="L44" s="4"/>
      <c r="M44" s="76"/>
      <c r="N44" s="76"/>
      <c r="O44" s="4"/>
      <c r="P44" s="4"/>
      <c r="Q44" s="3" t="s">
        <v>1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72"/>
      <c r="AC44" s="72"/>
      <c r="AD44" s="72"/>
      <c r="AE44" s="72"/>
      <c r="AF44" s="72"/>
      <c r="AG44" s="72"/>
      <c r="AH44" s="72"/>
      <c r="AI44" s="72"/>
      <c r="AJ44" s="72"/>
      <c r="AK44" s="72"/>
    </row>
    <row r="45" ht="12.0" customHeight="1">
      <c r="A45" s="4"/>
      <c r="B45" s="77" t="s">
        <v>38</v>
      </c>
      <c r="C45" s="78"/>
      <c r="D45" s="79">
        <f>C39</f>
        <v>500000</v>
      </c>
      <c r="E45" s="80" t="s">
        <v>39</v>
      </c>
      <c r="F45" s="81"/>
      <c r="G45" s="81" t="s">
        <v>40</v>
      </c>
      <c r="H45" s="4"/>
      <c r="I45" s="4"/>
      <c r="J45" s="4"/>
      <c r="K45" s="4"/>
      <c r="L45" s="4"/>
      <c r="M45" s="81" t="s">
        <v>41</v>
      </c>
      <c r="N45" s="81"/>
      <c r="O45" s="82"/>
      <c r="P45" s="4"/>
      <c r="Q45" s="3" t="s">
        <v>1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72"/>
      <c r="AC45" s="72"/>
      <c r="AD45" s="72"/>
      <c r="AE45" s="72"/>
      <c r="AF45" s="72"/>
      <c r="AG45" s="72"/>
      <c r="AH45" s="72"/>
      <c r="AI45" s="72"/>
      <c r="AJ45" s="72"/>
      <c r="AK45" s="72"/>
    </row>
    <row r="46" ht="12.0" customHeight="1">
      <c r="A46" s="4"/>
      <c r="B46" s="83" t="s">
        <v>42</v>
      </c>
      <c r="C46" s="84"/>
      <c r="D46" s="85">
        <v>1000.0</v>
      </c>
      <c r="E46" s="86" t="s">
        <v>43</v>
      </c>
      <c r="F46" s="87"/>
      <c r="G46" s="88">
        <f>D50</f>
        <v>0.0225</v>
      </c>
      <c r="H46" s="4"/>
      <c r="I46" s="4"/>
      <c r="J46" s="4"/>
      <c r="K46" s="4"/>
      <c r="L46" s="4"/>
      <c r="M46" s="87" t="s">
        <v>44</v>
      </c>
      <c r="N46" s="87"/>
      <c r="O46" s="89"/>
      <c r="P46" s="4"/>
      <c r="Q46" s="3" t="s">
        <v>1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72"/>
      <c r="AC46" s="72"/>
      <c r="AD46" s="72"/>
      <c r="AE46" s="72"/>
      <c r="AF46" s="72"/>
      <c r="AG46" s="72"/>
      <c r="AH46" s="72"/>
      <c r="AI46" s="72"/>
      <c r="AJ46" s="72"/>
      <c r="AK46" s="72"/>
    </row>
    <row r="47" ht="12.0" customHeight="1">
      <c r="A47" s="4"/>
      <c r="B47" s="83" t="s">
        <v>45</v>
      </c>
      <c r="C47" s="84"/>
      <c r="D47" s="90">
        <f>D45/D46</f>
        <v>500</v>
      </c>
      <c r="E47" s="87"/>
      <c r="F47" s="87"/>
      <c r="G47" s="87"/>
      <c r="H47" s="4"/>
      <c r="I47" s="4"/>
      <c r="J47" s="4"/>
      <c r="K47" s="4"/>
      <c r="L47" s="4"/>
      <c r="M47" s="87" t="s">
        <v>46</v>
      </c>
      <c r="N47" s="87"/>
      <c r="O47" s="91">
        <v>0.1</v>
      </c>
      <c r="P47" s="4"/>
      <c r="Q47" s="3" t="s">
        <v>1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72"/>
      <c r="AC47" s="72"/>
      <c r="AD47" s="72"/>
      <c r="AE47" s="72"/>
      <c r="AF47" s="72"/>
      <c r="AG47" s="72"/>
      <c r="AH47" s="72"/>
      <c r="AI47" s="72"/>
      <c r="AJ47" s="72"/>
      <c r="AK47" s="72"/>
    </row>
    <row r="48" ht="12.0" customHeight="1">
      <c r="A48" s="4"/>
      <c r="B48" s="83" t="s">
        <v>47</v>
      </c>
      <c r="C48" s="84"/>
      <c r="D48" s="92">
        <v>18.0</v>
      </c>
      <c r="E48" s="87"/>
      <c r="F48" s="87"/>
      <c r="G48" s="87"/>
      <c r="H48" s="4"/>
      <c r="I48" s="4"/>
      <c r="J48" s="4"/>
      <c r="K48" s="4"/>
      <c r="L48" s="4"/>
      <c r="M48" s="87" t="s">
        <v>48</v>
      </c>
      <c r="N48" s="87"/>
      <c r="O48" s="91">
        <v>0.1</v>
      </c>
      <c r="P48" s="4"/>
      <c r="Q48" s="3" t="s">
        <v>1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72"/>
      <c r="AC48" s="72"/>
      <c r="AD48" s="72"/>
      <c r="AE48" s="72"/>
      <c r="AF48" s="93"/>
      <c r="AG48" s="72"/>
      <c r="AH48" s="72"/>
      <c r="AI48" s="72"/>
      <c r="AJ48" s="72"/>
      <c r="AK48" s="72"/>
    </row>
    <row r="49" ht="12.0" customHeight="1">
      <c r="A49" s="4"/>
      <c r="B49" s="83" t="s">
        <v>49</v>
      </c>
      <c r="C49" s="84"/>
      <c r="D49" s="90" t="s">
        <v>50</v>
      </c>
      <c r="E49" s="87"/>
      <c r="F49" s="87"/>
      <c r="G49" s="87"/>
      <c r="H49" s="4"/>
      <c r="I49" s="4"/>
      <c r="J49" s="4"/>
      <c r="K49" s="4"/>
      <c r="L49" s="4"/>
      <c r="M49" s="87" t="s">
        <v>51</v>
      </c>
      <c r="N49" s="87"/>
      <c r="O49" s="91">
        <v>0.2</v>
      </c>
      <c r="P49" s="4"/>
      <c r="Q49" s="3" t="s">
        <v>1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72"/>
      <c r="AC49" s="72"/>
      <c r="AD49" s="72"/>
      <c r="AE49" s="72"/>
      <c r="AF49" s="93"/>
      <c r="AG49" s="72"/>
      <c r="AH49" s="72"/>
      <c r="AI49" s="72"/>
      <c r="AJ49" s="72"/>
      <c r="AK49" s="72"/>
    </row>
    <row r="50" ht="12.0" customHeight="1">
      <c r="A50" s="4"/>
      <c r="B50" s="83" t="s">
        <v>40</v>
      </c>
      <c r="C50" s="84"/>
      <c r="D50" s="94">
        <v>0.0225</v>
      </c>
      <c r="E50" s="86"/>
      <c r="F50" s="87"/>
      <c r="G50" s="88"/>
      <c r="H50" s="4"/>
      <c r="I50" s="4"/>
      <c r="J50" s="4"/>
      <c r="K50" s="4"/>
      <c r="L50" s="4"/>
      <c r="M50" s="87" t="s">
        <v>52</v>
      </c>
      <c r="N50" s="87"/>
      <c r="O50" s="91">
        <v>0.2</v>
      </c>
      <c r="P50" s="4"/>
      <c r="Q50" s="3" t="s">
        <v>1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72"/>
      <c r="AC50" s="72"/>
      <c r="AD50" s="72"/>
      <c r="AE50" s="72"/>
      <c r="AF50" s="93"/>
      <c r="AG50" s="72"/>
      <c r="AH50" s="72"/>
      <c r="AI50" s="72"/>
      <c r="AJ50" s="72"/>
      <c r="AK50" s="72"/>
    </row>
    <row r="51" ht="12.0" customHeight="1">
      <c r="A51" s="4"/>
      <c r="B51" s="83" t="s">
        <v>53</v>
      </c>
      <c r="C51" s="84"/>
      <c r="D51" s="95">
        <f>SUM(F73:F82)/-$D$72</f>
        <v>0.4</v>
      </c>
      <c r="E51" s="86"/>
      <c r="F51" s="87"/>
      <c r="G51" s="88"/>
      <c r="H51" s="4"/>
      <c r="I51" s="4"/>
      <c r="J51" s="4"/>
      <c r="K51" s="4"/>
      <c r="L51" s="4"/>
      <c r="M51" s="87" t="s">
        <v>54</v>
      </c>
      <c r="N51" s="87"/>
      <c r="O51" s="91">
        <v>0.2</v>
      </c>
      <c r="P51" s="4"/>
      <c r="Q51" s="3" t="s">
        <v>1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72"/>
      <c r="AC51" s="72"/>
      <c r="AD51" s="72"/>
      <c r="AE51" s="72"/>
      <c r="AF51" s="93"/>
      <c r="AG51" s="72"/>
      <c r="AH51" s="72"/>
      <c r="AI51" s="72"/>
      <c r="AJ51" s="72"/>
      <c r="AK51" s="72"/>
    </row>
    <row r="52" ht="12.0" customHeight="1">
      <c r="A52" s="4"/>
      <c r="B52" s="83" t="s">
        <v>55</v>
      </c>
      <c r="C52" s="84"/>
      <c r="D52" s="95">
        <f>SUM(F85:F90)/-$D$72</f>
        <v>0.4</v>
      </c>
      <c r="E52" s="86"/>
      <c r="F52" s="87"/>
      <c r="G52" s="87"/>
      <c r="H52" s="4"/>
      <c r="I52" s="4"/>
      <c r="J52" s="4"/>
      <c r="K52" s="4"/>
      <c r="L52" s="4"/>
      <c r="M52" s="87" t="s">
        <v>56</v>
      </c>
      <c r="N52" s="87"/>
      <c r="O52" s="91">
        <v>0.2</v>
      </c>
      <c r="P52" s="4"/>
      <c r="Q52" s="3" t="s">
        <v>1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72"/>
      <c r="AC52" s="72"/>
      <c r="AD52" s="72"/>
      <c r="AE52" s="72"/>
      <c r="AF52" s="93"/>
      <c r="AG52" s="72"/>
      <c r="AH52" s="72"/>
      <c r="AI52" s="72"/>
      <c r="AJ52" s="72"/>
      <c r="AK52" s="72"/>
    </row>
    <row r="53" ht="12.0" customHeight="1">
      <c r="A53" s="4"/>
      <c r="B53" s="96" t="s">
        <v>57</v>
      </c>
      <c r="C53" s="97"/>
      <c r="D53" s="98">
        <f>D59</f>
        <v>0.0225</v>
      </c>
      <c r="E53" s="99"/>
      <c r="F53" s="100"/>
      <c r="G53" s="101"/>
      <c r="H53" s="4"/>
      <c r="I53" s="4"/>
      <c r="J53" s="4"/>
      <c r="K53" s="4"/>
      <c r="L53" s="4"/>
      <c r="M53" s="102"/>
      <c r="N53" s="102"/>
      <c r="O53" s="103"/>
      <c r="P53" s="4"/>
      <c r="Q53" s="3" t="s">
        <v>1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72"/>
      <c r="AC53" s="72"/>
      <c r="AD53" s="72"/>
      <c r="AE53" s="72"/>
      <c r="AF53" s="93"/>
      <c r="AG53" s="72"/>
      <c r="AH53" s="72"/>
      <c r="AI53" s="72"/>
      <c r="AJ53" s="72"/>
      <c r="AK53" s="72"/>
    </row>
    <row r="54" ht="12.0" customHeight="1">
      <c r="A54" s="4"/>
      <c r="B54" s="4"/>
      <c r="C54" s="4"/>
      <c r="D54" s="4"/>
      <c r="E54" s="72"/>
      <c r="F54" s="72"/>
      <c r="G54" s="72"/>
      <c r="H54" s="4"/>
      <c r="I54" s="4"/>
      <c r="J54" s="4"/>
      <c r="K54" s="4"/>
      <c r="L54" s="4"/>
      <c r="M54" s="104"/>
      <c r="N54" s="72"/>
      <c r="O54" s="4"/>
      <c r="P54" s="4"/>
      <c r="Q54" s="3" t="s">
        <v>1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72"/>
      <c r="AC54" s="72"/>
      <c r="AD54" s="72"/>
      <c r="AE54" s="72"/>
      <c r="AF54" s="93"/>
      <c r="AG54" s="72"/>
      <c r="AH54" s="72"/>
      <c r="AI54" s="72"/>
      <c r="AJ54" s="72"/>
      <c r="AK54" s="72"/>
    </row>
    <row r="55" ht="18.0" customHeight="1">
      <c r="A55" s="4"/>
      <c r="B55" s="4"/>
      <c r="C55" s="4"/>
      <c r="D55" s="4"/>
      <c r="E55" s="4"/>
      <c r="F55" s="4"/>
      <c r="G55" s="4"/>
      <c r="H55" s="4"/>
      <c r="I55" s="72"/>
      <c r="J55" s="72"/>
      <c r="K55" s="72"/>
      <c r="L55" s="72"/>
      <c r="M55" s="4"/>
      <c r="N55" s="4"/>
      <c r="O55" s="4"/>
      <c r="P55" s="4"/>
      <c r="Q55" s="3" t="s">
        <v>1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72"/>
      <c r="AC55" s="72"/>
      <c r="AD55" s="72"/>
      <c r="AE55" s="72"/>
      <c r="AF55" s="72"/>
      <c r="AG55" s="4"/>
      <c r="AH55" s="72"/>
      <c r="AI55" s="72"/>
      <c r="AJ55" s="72"/>
      <c r="AK55" s="72"/>
    </row>
    <row r="56" ht="12.0" customHeight="1">
      <c r="A56" s="4"/>
      <c r="B56" s="105" t="s">
        <v>58</v>
      </c>
      <c r="C56" s="106"/>
      <c r="D56" s="107"/>
      <c r="E56" s="108"/>
      <c r="F56" s="108"/>
      <c r="G56" s="107"/>
      <c r="H56" s="72"/>
      <c r="I56" s="72"/>
      <c r="J56" s="72"/>
      <c r="K56" s="72"/>
      <c r="L56" s="72"/>
      <c r="M56" s="107"/>
      <c r="N56" s="107"/>
      <c r="O56" s="109"/>
      <c r="P56" s="4"/>
      <c r="Q56" s="3" t="s">
        <v>1</v>
      </c>
      <c r="R56" s="110"/>
      <c r="S56" s="110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7.5" customHeight="1">
      <c r="A57" s="4"/>
      <c r="B57" s="111"/>
      <c r="C57" s="112"/>
      <c r="D57" s="110"/>
      <c r="E57" s="113"/>
      <c r="F57" s="113"/>
      <c r="G57" s="110"/>
      <c r="H57" s="72"/>
      <c r="I57" s="72"/>
      <c r="J57" s="72"/>
      <c r="K57" s="72"/>
      <c r="L57" s="72"/>
      <c r="M57" s="110"/>
      <c r="N57" s="110"/>
      <c r="O57" s="110"/>
      <c r="P57" s="4"/>
      <c r="Q57" s="3" t="s">
        <v>1</v>
      </c>
      <c r="R57" s="110"/>
      <c r="S57" s="110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15.0" customHeight="1">
      <c r="A58" s="4"/>
      <c r="B58" s="114" t="s">
        <v>59</v>
      </c>
      <c r="C58" s="111"/>
      <c r="D58" s="111"/>
      <c r="E58" s="111"/>
      <c r="F58" s="111"/>
      <c r="G58" s="115"/>
      <c r="H58" s="72"/>
      <c r="I58" s="72"/>
      <c r="J58" s="72"/>
      <c r="K58" s="72"/>
      <c r="L58" s="72"/>
      <c r="M58" s="4"/>
      <c r="N58" s="4"/>
      <c r="O58" s="110"/>
      <c r="P58" s="110"/>
      <c r="Q58" s="3" t="s">
        <v>1</v>
      </c>
      <c r="R58" s="110"/>
      <c r="S58" s="110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12.0" customHeight="1">
      <c r="A59" s="4"/>
      <c r="B59" s="114" t="s">
        <v>60</v>
      </c>
      <c r="C59" s="116"/>
      <c r="D59" s="117">
        <f>(IRR(G72:G90))</f>
        <v>0.0225</v>
      </c>
      <c r="E59" s="4"/>
      <c r="F59" s="118"/>
      <c r="G59" s="119"/>
      <c r="H59" s="118"/>
      <c r="I59" s="118"/>
      <c r="J59" s="118"/>
      <c r="K59" s="118"/>
      <c r="L59" s="4"/>
      <c r="M59" s="119"/>
      <c r="N59" s="4"/>
      <c r="O59" s="110"/>
      <c r="P59" s="110"/>
      <c r="Q59" s="3" t="s">
        <v>1</v>
      </c>
      <c r="R59" s="110"/>
      <c r="S59" s="110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12.0" customHeight="1">
      <c r="A60" s="4"/>
      <c r="B60" s="114" t="s">
        <v>61</v>
      </c>
      <c r="C60" s="116"/>
      <c r="D60" s="120">
        <f>((IRR(M72:M90)))</f>
        <v>0.01786461616</v>
      </c>
      <c r="E60" s="4"/>
      <c r="F60" s="118"/>
      <c r="G60" s="119"/>
      <c r="H60" s="118"/>
      <c r="I60" s="118"/>
      <c r="J60" s="118"/>
      <c r="K60" s="118"/>
      <c r="L60" s="4"/>
      <c r="M60" s="119"/>
      <c r="N60" s="4"/>
      <c r="O60" s="110"/>
      <c r="P60" s="110"/>
      <c r="Q60" s="3" t="s">
        <v>1</v>
      </c>
      <c r="R60" s="110"/>
      <c r="S60" s="11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12.0" customHeight="1">
      <c r="A61" s="4"/>
      <c r="B61" s="114"/>
      <c r="C61" s="116"/>
      <c r="D61" s="121" t="s">
        <v>62</v>
      </c>
      <c r="E61" s="4"/>
      <c r="F61" s="118"/>
      <c r="G61" s="122" t="s">
        <v>63</v>
      </c>
      <c r="H61" s="118"/>
      <c r="I61" s="118"/>
      <c r="J61" s="118"/>
      <c r="K61" s="118"/>
      <c r="L61" s="4"/>
      <c r="M61" s="122" t="s">
        <v>64</v>
      </c>
      <c r="N61" s="4"/>
      <c r="O61" s="110"/>
      <c r="P61" s="110"/>
      <c r="Q61" s="3" t="s">
        <v>1</v>
      </c>
      <c r="R61" s="110"/>
      <c r="S61" s="110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12.0" customHeight="1">
      <c r="A62" s="4"/>
      <c r="B62" s="123" t="s">
        <v>65</v>
      </c>
      <c r="C62" s="116"/>
      <c r="D62" s="124">
        <f>IRR(G72:G90)</f>
        <v>0.0225</v>
      </c>
      <c r="E62" s="66"/>
      <c r="F62" s="118"/>
      <c r="G62" s="124">
        <f t="shared" ref="G62:G63" si="1">(1+D62)^12-1</f>
        <v>0.3060499899</v>
      </c>
      <c r="H62" s="118"/>
      <c r="I62" s="118"/>
      <c r="J62" s="118"/>
      <c r="K62" s="118"/>
      <c r="L62" s="4"/>
      <c r="M62" s="124">
        <f t="shared" ref="M62:M63" si="2">((1+G62)^(18/12)-1)</f>
        <v>0.4925871564</v>
      </c>
      <c r="N62" s="4"/>
      <c r="O62" s="110"/>
      <c r="P62" s="110"/>
      <c r="Q62" s="3" t="s">
        <v>1</v>
      </c>
      <c r="R62" s="110"/>
      <c r="S62" s="110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12.0" customHeight="1">
      <c r="A63" s="4"/>
      <c r="B63" s="123" t="s">
        <v>66</v>
      </c>
      <c r="C63" s="123"/>
      <c r="D63" s="124">
        <f>IRR(M72:M90)</f>
        <v>0.01786461616</v>
      </c>
      <c r="E63" s="66"/>
      <c r="F63" s="118"/>
      <c r="G63" s="124">
        <f t="shared" si="1"/>
        <v>0.2367451273</v>
      </c>
      <c r="H63" s="118"/>
      <c r="I63" s="118"/>
      <c r="J63" s="118"/>
      <c r="K63" s="118"/>
      <c r="L63" s="4"/>
      <c r="M63" s="124">
        <f t="shared" si="2"/>
        <v>0.3753724219</v>
      </c>
      <c r="N63" s="4"/>
      <c r="O63" s="110"/>
      <c r="P63" s="110"/>
      <c r="Q63" s="3" t="s">
        <v>1</v>
      </c>
      <c r="R63" s="110"/>
      <c r="S63" s="110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12.0" customHeight="1">
      <c r="A64" s="4"/>
      <c r="B64" s="123" t="s">
        <v>67</v>
      </c>
      <c r="C64" s="123"/>
      <c r="D64" s="123"/>
      <c r="E64" s="4"/>
      <c r="F64" s="118"/>
      <c r="G64" s="119">
        <f>G62/G66</f>
        <v>2.242124468</v>
      </c>
      <c r="H64" s="118"/>
      <c r="I64" s="118"/>
      <c r="J64" s="118"/>
      <c r="K64" s="118"/>
      <c r="L64" s="4"/>
      <c r="M64" s="119"/>
      <c r="N64" s="4"/>
      <c r="O64" s="110"/>
      <c r="P64" s="110"/>
      <c r="Q64" s="3" t="s">
        <v>1</v>
      </c>
      <c r="R64" s="110"/>
      <c r="S64" s="110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12.0" customHeight="1">
      <c r="A65" s="4"/>
      <c r="B65" s="123"/>
      <c r="C65" s="123"/>
      <c r="D65" s="125"/>
      <c r="E65" s="4"/>
      <c r="F65" s="118"/>
      <c r="G65" s="124"/>
      <c r="H65" s="118"/>
      <c r="I65" s="118"/>
      <c r="J65" s="118"/>
      <c r="K65" s="118"/>
      <c r="L65" s="4"/>
      <c r="M65" s="124"/>
      <c r="N65" s="4"/>
      <c r="O65" s="110"/>
      <c r="P65" s="110"/>
      <c r="Q65" s="3" t="s">
        <v>1</v>
      </c>
      <c r="R65" s="110"/>
      <c r="S65" s="110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12.0" customHeight="1">
      <c r="A66" s="110"/>
      <c r="B66" s="126" t="s">
        <v>68</v>
      </c>
      <c r="C66" s="127"/>
      <c r="D66" s="127"/>
      <c r="E66" s="4"/>
      <c r="F66" s="118"/>
      <c r="G66" s="128">
        <v>0.1365</v>
      </c>
      <c r="H66" s="118"/>
      <c r="I66" s="118"/>
      <c r="J66" s="118"/>
      <c r="K66" s="118"/>
      <c r="L66" s="129"/>
      <c r="M66" s="4"/>
      <c r="N66" s="4"/>
      <c r="O66" s="110"/>
      <c r="P66" s="110"/>
      <c r="Q66" s="3" t="s">
        <v>1</v>
      </c>
      <c r="R66" s="110"/>
      <c r="S66" s="110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12.0" customHeight="1">
      <c r="A67" s="4"/>
      <c r="B67" s="130" t="s">
        <v>69</v>
      </c>
      <c r="C67" s="123"/>
      <c r="D67" s="116"/>
      <c r="E67" s="4"/>
      <c r="F67" s="118"/>
      <c r="G67" s="123"/>
      <c r="H67" s="118"/>
      <c r="I67" s="118"/>
      <c r="J67" s="118"/>
      <c r="K67" s="118"/>
      <c r="L67" s="4"/>
      <c r="M67" s="131"/>
      <c r="N67" s="4"/>
      <c r="O67" s="110"/>
      <c r="P67" s="110"/>
      <c r="Q67" s="3" t="s">
        <v>1</v>
      </c>
      <c r="R67" s="110"/>
      <c r="S67" s="110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12.0" customHeight="1">
      <c r="A68" s="4"/>
      <c r="B68" s="132"/>
      <c r="C68" s="4"/>
      <c r="D68" s="4"/>
      <c r="E68" s="133" t="s">
        <v>70</v>
      </c>
      <c r="F68" s="134"/>
      <c r="G68" s="4"/>
      <c r="H68" s="133" t="s">
        <v>70</v>
      </c>
      <c r="I68" s="133"/>
      <c r="J68" s="133"/>
      <c r="K68" s="133" t="s">
        <v>70</v>
      </c>
      <c r="L68" s="133"/>
      <c r="M68" s="4"/>
      <c r="N68" s="66"/>
      <c r="O68" s="4"/>
      <c r="P68" s="4"/>
      <c r="Q68" s="3" t="s">
        <v>1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12.0" customHeight="1">
      <c r="A69" s="4"/>
      <c r="B69" s="105" t="s">
        <v>71</v>
      </c>
      <c r="C69" s="106"/>
      <c r="D69" s="107"/>
      <c r="E69" s="108"/>
      <c r="F69" s="108"/>
      <c r="G69" s="107"/>
      <c r="H69" s="72"/>
      <c r="I69" s="72"/>
      <c r="J69" s="72"/>
      <c r="K69" s="72"/>
      <c r="L69" s="72"/>
      <c r="M69" s="107"/>
      <c r="N69" s="107"/>
      <c r="O69" s="109"/>
      <c r="P69" s="4"/>
      <c r="Q69" s="3" t="s">
        <v>1</v>
      </c>
      <c r="R69" s="110"/>
      <c r="S69" s="110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12.0" customHeight="1">
      <c r="A70" s="4"/>
      <c r="B70" s="132"/>
      <c r="C70" s="4"/>
      <c r="D70" s="4"/>
      <c r="E70" s="133"/>
      <c r="F70" s="134"/>
      <c r="G70" s="4"/>
      <c r="H70" s="133"/>
      <c r="I70" s="133"/>
      <c r="J70" s="133"/>
      <c r="K70" s="133"/>
      <c r="L70" s="133"/>
      <c r="M70" s="4"/>
      <c r="N70" s="66"/>
      <c r="O70" s="4"/>
      <c r="P70" s="4"/>
      <c r="Q70" s="3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25.5" customHeight="1">
      <c r="A71" s="4"/>
      <c r="B71" s="135" t="s">
        <v>72</v>
      </c>
      <c r="C71" s="136" t="s">
        <v>73</v>
      </c>
      <c r="D71" s="136" t="s">
        <v>74</v>
      </c>
      <c r="E71" s="135" t="s">
        <v>75</v>
      </c>
      <c r="F71" s="135" t="s">
        <v>76</v>
      </c>
      <c r="G71" s="136" t="s">
        <v>49</v>
      </c>
      <c r="H71" s="135" t="s">
        <v>77</v>
      </c>
      <c r="I71" s="136" t="s">
        <v>78</v>
      </c>
      <c r="J71" s="135" t="s">
        <v>79</v>
      </c>
      <c r="K71" s="136" t="s">
        <v>80</v>
      </c>
      <c r="L71" s="136" t="s">
        <v>81</v>
      </c>
      <c r="M71" s="137" t="s">
        <v>82</v>
      </c>
      <c r="N71" s="66"/>
      <c r="O71" s="4"/>
      <c r="P71" s="4"/>
      <c r="Q71" s="3" t="s">
        <v>1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12.0" customHeight="1">
      <c r="A72" s="4"/>
      <c r="B72" s="138">
        <v>0.0</v>
      </c>
      <c r="C72" s="139">
        <v>45075.0</v>
      </c>
      <c r="D72" s="140">
        <f>-C27</f>
        <v>-10000</v>
      </c>
      <c r="E72" s="141"/>
      <c r="F72" s="141"/>
      <c r="G72" s="142">
        <f>D72</f>
        <v>-10000</v>
      </c>
      <c r="H72" s="141"/>
      <c r="I72" s="141"/>
      <c r="J72" s="141"/>
      <c r="K72" s="143">
        <v>0.0</v>
      </c>
      <c r="L72" s="141">
        <f>K72*-G72</f>
        <v>0</v>
      </c>
      <c r="M72" s="144">
        <f>D72</f>
        <v>-10000</v>
      </c>
      <c r="N72" s="4"/>
      <c r="O72" s="4"/>
      <c r="P72" s="4"/>
      <c r="Q72" s="3" t="s">
        <v>1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12.0" customHeight="1">
      <c r="A73" s="4"/>
      <c r="B73" s="138">
        <f t="shared" ref="B73:B90" si="3">B72+1</f>
        <v>1</v>
      </c>
      <c r="C73" s="139">
        <f t="shared" ref="C73:C90" si="4">C72+30</f>
        <v>45105</v>
      </c>
      <c r="D73" s="141">
        <v>0.0</v>
      </c>
      <c r="E73" s="141"/>
      <c r="F73" s="141"/>
      <c r="G73" s="141">
        <f t="shared" ref="G73:G90" si="5">F73+E73</f>
        <v>0</v>
      </c>
      <c r="H73" s="141">
        <f>-D72-G73</f>
        <v>10000</v>
      </c>
      <c r="I73" s="141">
        <f>H73*$D$50</f>
        <v>225</v>
      </c>
      <c r="J73" s="141">
        <f t="shared" ref="J73:J90" si="6">I73+H73</f>
        <v>10225</v>
      </c>
      <c r="K73" s="143">
        <v>0.225</v>
      </c>
      <c r="L73" s="141">
        <f t="shared" ref="L73:L77" si="7">IF(G73&gt;0,(G73+($D$72*$O$47))*-K73,0)</f>
        <v>0</v>
      </c>
      <c r="M73" s="144">
        <f t="shared" ref="M73:M90" si="8">G73+L73</f>
        <v>0</v>
      </c>
      <c r="N73" s="66"/>
      <c r="O73" s="4"/>
      <c r="P73" s="4"/>
      <c r="Q73" s="3" t="s">
        <v>1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12.0" customHeight="1">
      <c r="A74" s="4"/>
      <c r="B74" s="138">
        <f t="shared" si="3"/>
        <v>2</v>
      </c>
      <c r="C74" s="139">
        <f t="shared" si="4"/>
        <v>45135</v>
      </c>
      <c r="D74" s="141">
        <v>0.0</v>
      </c>
      <c r="E74" s="141"/>
      <c r="F74" s="141"/>
      <c r="G74" s="141">
        <f t="shared" si="5"/>
        <v>0</v>
      </c>
      <c r="H74" s="141">
        <f t="shared" ref="H74:H90" si="9">J73-G74</f>
        <v>10225</v>
      </c>
      <c r="I74" s="141">
        <f t="shared" ref="I74:I90" si="10">J73*$D$50</f>
        <v>230.0625</v>
      </c>
      <c r="J74" s="141">
        <f t="shared" si="6"/>
        <v>10455.0625</v>
      </c>
      <c r="K74" s="143">
        <v>0.225</v>
      </c>
      <c r="L74" s="141">
        <f t="shared" si="7"/>
        <v>0</v>
      </c>
      <c r="M74" s="144">
        <f t="shared" si="8"/>
        <v>0</v>
      </c>
      <c r="N74" s="66"/>
      <c r="O74" s="4"/>
      <c r="P74" s="4"/>
      <c r="Q74" s="3" t="s">
        <v>1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12.0" customHeight="1">
      <c r="A75" s="4"/>
      <c r="B75" s="138">
        <f t="shared" si="3"/>
        <v>3</v>
      </c>
      <c r="C75" s="139">
        <f t="shared" si="4"/>
        <v>45165</v>
      </c>
      <c r="D75" s="141">
        <v>0.0</v>
      </c>
      <c r="E75" s="141">
        <f>SUM(I73:I75)</f>
        <v>690.3014063</v>
      </c>
      <c r="F75" s="141">
        <f>-$D$72*$O$47</f>
        <v>1000</v>
      </c>
      <c r="G75" s="141">
        <f t="shared" si="5"/>
        <v>1690.301406</v>
      </c>
      <c r="H75" s="141">
        <f t="shared" si="9"/>
        <v>8764.761094</v>
      </c>
      <c r="I75" s="141">
        <f t="shared" si="10"/>
        <v>235.2389063</v>
      </c>
      <c r="J75" s="141">
        <f t="shared" si="6"/>
        <v>9000</v>
      </c>
      <c r="K75" s="143">
        <v>0.225</v>
      </c>
      <c r="L75" s="141">
        <f t="shared" si="7"/>
        <v>-155.3178164</v>
      </c>
      <c r="M75" s="144">
        <f t="shared" si="8"/>
        <v>1534.98359</v>
      </c>
      <c r="N75" s="66"/>
      <c r="O75" s="4"/>
      <c r="P75" s="4"/>
      <c r="Q75" s="3" t="s">
        <v>1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12.0" customHeight="1">
      <c r="A76" s="4"/>
      <c r="B76" s="138">
        <f t="shared" si="3"/>
        <v>4</v>
      </c>
      <c r="C76" s="139">
        <f t="shared" si="4"/>
        <v>45195</v>
      </c>
      <c r="D76" s="141">
        <v>0.0</v>
      </c>
      <c r="E76" s="141"/>
      <c r="F76" s="141"/>
      <c r="G76" s="141">
        <f t="shared" si="5"/>
        <v>0</v>
      </c>
      <c r="H76" s="141">
        <f t="shared" si="9"/>
        <v>9000</v>
      </c>
      <c r="I76" s="141">
        <f t="shared" si="10"/>
        <v>202.5</v>
      </c>
      <c r="J76" s="141">
        <f t="shared" si="6"/>
        <v>9202.5</v>
      </c>
      <c r="K76" s="143">
        <v>0.225</v>
      </c>
      <c r="L76" s="141">
        <f t="shared" si="7"/>
        <v>0</v>
      </c>
      <c r="M76" s="144">
        <f t="shared" si="8"/>
        <v>0</v>
      </c>
      <c r="N76" s="66"/>
      <c r="O76" s="4"/>
      <c r="P76" s="4"/>
      <c r="Q76" s="3" t="s">
        <v>1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12.0" customHeight="1">
      <c r="A77" s="4"/>
      <c r="B77" s="138">
        <f t="shared" si="3"/>
        <v>5</v>
      </c>
      <c r="C77" s="139">
        <f t="shared" si="4"/>
        <v>45225</v>
      </c>
      <c r="D77" s="141">
        <v>0.0</v>
      </c>
      <c r="E77" s="141"/>
      <c r="F77" s="141"/>
      <c r="G77" s="141">
        <f t="shared" si="5"/>
        <v>0</v>
      </c>
      <c r="H77" s="141">
        <f t="shared" si="9"/>
        <v>9202.5</v>
      </c>
      <c r="I77" s="141">
        <f t="shared" si="10"/>
        <v>207.05625</v>
      </c>
      <c r="J77" s="141">
        <f t="shared" si="6"/>
        <v>9409.55625</v>
      </c>
      <c r="K77" s="143">
        <v>0.225</v>
      </c>
      <c r="L77" s="141">
        <f t="shared" si="7"/>
        <v>0</v>
      </c>
      <c r="M77" s="144">
        <f t="shared" si="8"/>
        <v>0</v>
      </c>
      <c r="N77" s="66"/>
      <c r="O77" s="4"/>
      <c r="P77" s="4"/>
      <c r="Q77" s="3" t="s">
        <v>1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12.0" customHeight="1">
      <c r="A78" s="4"/>
      <c r="B78" s="138">
        <f t="shared" si="3"/>
        <v>6</v>
      </c>
      <c r="C78" s="139">
        <f t="shared" si="4"/>
        <v>45255</v>
      </c>
      <c r="D78" s="141">
        <v>0.0</v>
      </c>
      <c r="E78" s="141">
        <f>SUM(I76:I78)</f>
        <v>621.2712656</v>
      </c>
      <c r="F78" s="141">
        <f>-$D$72*$O$48</f>
        <v>1000</v>
      </c>
      <c r="G78" s="141">
        <f t="shared" si="5"/>
        <v>1621.271266</v>
      </c>
      <c r="H78" s="141">
        <f t="shared" si="9"/>
        <v>7788.284984</v>
      </c>
      <c r="I78" s="141">
        <f t="shared" si="10"/>
        <v>211.7150156</v>
      </c>
      <c r="J78" s="141">
        <f t="shared" si="6"/>
        <v>8000</v>
      </c>
      <c r="K78" s="143">
        <v>0.225</v>
      </c>
      <c r="L78" s="141">
        <f>IF(G78&gt;0,(G78+($D$72*$O$48))*-K78,0)</f>
        <v>-139.7860348</v>
      </c>
      <c r="M78" s="144">
        <f t="shared" si="8"/>
        <v>1481.485231</v>
      </c>
      <c r="N78" s="66"/>
      <c r="O78" s="4"/>
      <c r="P78" s="4"/>
      <c r="Q78" s="3" t="s">
        <v>1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12.0" customHeight="1">
      <c r="A79" s="4"/>
      <c r="B79" s="138">
        <f t="shared" si="3"/>
        <v>7</v>
      </c>
      <c r="C79" s="139">
        <f t="shared" si="4"/>
        <v>45285</v>
      </c>
      <c r="D79" s="141">
        <v>0.0</v>
      </c>
      <c r="E79" s="141"/>
      <c r="F79" s="141"/>
      <c r="G79" s="141">
        <f t="shared" si="5"/>
        <v>0</v>
      </c>
      <c r="H79" s="141">
        <f t="shared" si="9"/>
        <v>8000</v>
      </c>
      <c r="I79" s="141">
        <f t="shared" si="10"/>
        <v>180</v>
      </c>
      <c r="J79" s="141">
        <f t="shared" si="6"/>
        <v>8180</v>
      </c>
      <c r="K79" s="143">
        <v>0.2</v>
      </c>
      <c r="L79" s="141">
        <f t="shared" ref="L79:L80" si="11">IF(G79&gt;0,(G79+($D$72*$O$47))*-K79,0)</f>
        <v>0</v>
      </c>
      <c r="M79" s="144">
        <f t="shared" si="8"/>
        <v>0</v>
      </c>
      <c r="N79" s="66"/>
      <c r="O79" s="4"/>
      <c r="P79" s="4"/>
      <c r="Q79" s="3" t="s">
        <v>1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12.0" customHeight="1">
      <c r="A80" s="4"/>
      <c r="B80" s="138">
        <f t="shared" si="3"/>
        <v>8</v>
      </c>
      <c r="C80" s="139">
        <f t="shared" si="4"/>
        <v>45315</v>
      </c>
      <c r="D80" s="141">
        <v>0.0</v>
      </c>
      <c r="E80" s="141"/>
      <c r="F80" s="141"/>
      <c r="G80" s="141">
        <f t="shared" si="5"/>
        <v>0</v>
      </c>
      <c r="H80" s="141">
        <f t="shared" si="9"/>
        <v>8180</v>
      </c>
      <c r="I80" s="141">
        <f t="shared" si="10"/>
        <v>184.05</v>
      </c>
      <c r="J80" s="141">
        <f t="shared" si="6"/>
        <v>8364.05</v>
      </c>
      <c r="K80" s="143">
        <v>0.2</v>
      </c>
      <c r="L80" s="141">
        <f t="shared" si="11"/>
        <v>0</v>
      </c>
      <c r="M80" s="144">
        <f t="shared" si="8"/>
        <v>0</v>
      </c>
      <c r="N80" s="66"/>
      <c r="O80" s="4"/>
      <c r="P80" s="4"/>
      <c r="Q80" s="3" t="s">
        <v>1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12.0" customHeight="1">
      <c r="A81" s="4"/>
      <c r="B81" s="138">
        <f t="shared" si="3"/>
        <v>9</v>
      </c>
      <c r="C81" s="139">
        <f t="shared" si="4"/>
        <v>45345</v>
      </c>
      <c r="D81" s="141">
        <v>0.0</v>
      </c>
      <c r="E81" s="141">
        <f>SUM(I79:I81)</f>
        <v>552.241125</v>
      </c>
      <c r="F81" s="141">
        <f>-$D$72*$O$49</f>
        <v>2000</v>
      </c>
      <c r="G81" s="141">
        <f t="shared" si="5"/>
        <v>2552.241125</v>
      </c>
      <c r="H81" s="141">
        <f t="shared" si="9"/>
        <v>5811.808875</v>
      </c>
      <c r="I81" s="141">
        <f t="shared" si="10"/>
        <v>188.191125</v>
      </c>
      <c r="J81" s="141">
        <f t="shared" si="6"/>
        <v>6000</v>
      </c>
      <c r="K81" s="143">
        <v>0.2</v>
      </c>
      <c r="L81" s="141">
        <f>IF(G81&gt;0,(G81+($D$72*$O$49))*-K81,0)</f>
        <v>-110.448225</v>
      </c>
      <c r="M81" s="144">
        <f t="shared" si="8"/>
        <v>2441.7929</v>
      </c>
      <c r="N81" s="66"/>
      <c r="O81" s="4"/>
      <c r="P81" s="4"/>
      <c r="Q81" s="3" t="s">
        <v>1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12.0" customHeight="1">
      <c r="A82" s="4"/>
      <c r="B82" s="138">
        <f t="shared" si="3"/>
        <v>10</v>
      </c>
      <c r="C82" s="139">
        <f t="shared" si="4"/>
        <v>45375</v>
      </c>
      <c r="D82" s="141">
        <v>0.0</v>
      </c>
      <c r="E82" s="141"/>
      <c r="F82" s="141"/>
      <c r="G82" s="141">
        <f t="shared" si="5"/>
        <v>0</v>
      </c>
      <c r="H82" s="141">
        <f t="shared" si="9"/>
        <v>6000</v>
      </c>
      <c r="I82" s="141">
        <f t="shared" si="10"/>
        <v>135</v>
      </c>
      <c r="J82" s="141">
        <f t="shared" si="6"/>
        <v>6135</v>
      </c>
      <c r="K82" s="143">
        <v>0.2</v>
      </c>
      <c r="L82" s="141">
        <f t="shared" ref="L82:L83" si="12">IF(G82&gt;0,(G82+($D$72*$O$47))*-K82,0)</f>
        <v>0</v>
      </c>
      <c r="M82" s="144">
        <f t="shared" si="8"/>
        <v>0</v>
      </c>
      <c r="N82" s="66"/>
      <c r="O82" s="4"/>
      <c r="P82" s="4"/>
      <c r="Q82" s="3" t="s">
        <v>1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12.0" customHeight="1">
      <c r="A83" s="4"/>
      <c r="B83" s="138">
        <f t="shared" si="3"/>
        <v>11</v>
      </c>
      <c r="C83" s="139">
        <f t="shared" si="4"/>
        <v>45405</v>
      </c>
      <c r="D83" s="141">
        <v>0.0</v>
      </c>
      <c r="E83" s="141"/>
      <c r="F83" s="141"/>
      <c r="G83" s="141">
        <f t="shared" si="5"/>
        <v>0</v>
      </c>
      <c r="H83" s="141">
        <f t="shared" si="9"/>
        <v>6135</v>
      </c>
      <c r="I83" s="141">
        <f t="shared" si="10"/>
        <v>138.0375</v>
      </c>
      <c r="J83" s="141">
        <f t="shared" si="6"/>
        <v>6273.0375</v>
      </c>
      <c r="K83" s="143">
        <v>0.2</v>
      </c>
      <c r="L83" s="141">
        <f t="shared" si="12"/>
        <v>0</v>
      </c>
      <c r="M83" s="144">
        <f t="shared" si="8"/>
        <v>0</v>
      </c>
      <c r="N83" s="66"/>
      <c r="O83" s="4"/>
      <c r="P83" s="4"/>
      <c r="Q83" s="3" t="s">
        <v>1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12.0" customHeight="1">
      <c r="A84" s="4"/>
      <c r="B84" s="138">
        <f t="shared" si="3"/>
        <v>12</v>
      </c>
      <c r="C84" s="139">
        <f t="shared" si="4"/>
        <v>45435</v>
      </c>
      <c r="D84" s="141">
        <v>0.0</v>
      </c>
      <c r="E84" s="141">
        <f>SUM(I82:I84)</f>
        <v>414.1808438</v>
      </c>
      <c r="F84" s="141">
        <f>-$D$72*$O$50</f>
        <v>2000</v>
      </c>
      <c r="G84" s="141">
        <f t="shared" si="5"/>
        <v>2414.180844</v>
      </c>
      <c r="H84" s="141">
        <f t="shared" si="9"/>
        <v>3858.856656</v>
      </c>
      <c r="I84" s="141">
        <f t="shared" si="10"/>
        <v>141.1433438</v>
      </c>
      <c r="J84" s="141">
        <f t="shared" si="6"/>
        <v>4000</v>
      </c>
      <c r="K84" s="143">
        <v>0.2</v>
      </c>
      <c r="L84" s="141">
        <f>IF(G84&gt;0,(G84+($D$72*$O$50))*-K84,0)</f>
        <v>-82.83616875</v>
      </c>
      <c r="M84" s="144">
        <f t="shared" si="8"/>
        <v>2331.344675</v>
      </c>
      <c r="N84" s="66"/>
      <c r="O84" s="4"/>
      <c r="P84" s="4"/>
      <c r="Q84" s="3" t="s">
        <v>1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12.0" customHeight="1">
      <c r="A85" s="4"/>
      <c r="B85" s="138">
        <f t="shared" si="3"/>
        <v>13</v>
      </c>
      <c r="C85" s="139">
        <f t="shared" si="4"/>
        <v>45465</v>
      </c>
      <c r="D85" s="141">
        <v>0.0</v>
      </c>
      <c r="E85" s="141"/>
      <c r="F85" s="141"/>
      <c r="G85" s="141">
        <f t="shared" si="5"/>
        <v>0</v>
      </c>
      <c r="H85" s="141">
        <f t="shared" si="9"/>
        <v>4000</v>
      </c>
      <c r="I85" s="141">
        <f t="shared" si="10"/>
        <v>90</v>
      </c>
      <c r="J85" s="141">
        <f t="shared" si="6"/>
        <v>4090</v>
      </c>
      <c r="K85" s="143">
        <v>0.175</v>
      </c>
      <c r="L85" s="141">
        <f t="shared" ref="L85:L86" si="13">IF(G85&gt;0,(G85+($D$72*$O$47))*-K85,0)</f>
        <v>0</v>
      </c>
      <c r="M85" s="144">
        <f t="shared" si="8"/>
        <v>0</v>
      </c>
      <c r="N85" s="66"/>
      <c r="O85" s="4"/>
      <c r="P85" s="4"/>
      <c r="Q85" s="3" t="s">
        <v>1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12.0" customHeight="1">
      <c r="A86" s="4"/>
      <c r="B86" s="138">
        <f t="shared" si="3"/>
        <v>14</v>
      </c>
      <c r="C86" s="139">
        <f t="shared" si="4"/>
        <v>45495</v>
      </c>
      <c r="D86" s="141">
        <v>0.0</v>
      </c>
      <c r="E86" s="141"/>
      <c r="F86" s="141"/>
      <c r="G86" s="141">
        <f t="shared" si="5"/>
        <v>0</v>
      </c>
      <c r="H86" s="141">
        <f t="shared" si="9"/>
        <v>4090</v>
      </c>
      <c r="I86" s="141">
        <f t="shared" si="10"/>
        <v>92.025</v>
      </c>
      <c r="J86" s="141">
        <f t="shared" si="6"/>
        <v>4182.025</v>
      </c>
      <c r="K86" s="143">
        <v>0.175</v>
      </c>
      <c r="L86" s="141">
        <f t="shared" si="13"/>
        <v>0</v>
      </c>
      <c r="M86" s="144">
        <f t="shared" si="8"/>
        <v>0</v>
      </c>
      <c r="N86" s="66"/>
      <c r="O86" s="4"/>
      <c r="P86" s="4"/>
      <c r="Q86" s="3" t="s">
        <v>1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12.0" customHeight="1">
      <c r="A87" s="4"/>
      <c r="B87" s="138">
        <f t="shared" si="3"/>
        <v>15</v>
      </c>
      <c r="C87" s="139">
        <f t="shared" si="4"/>
        <v>45525</v>
      </c>
      <c r="D87" s="141">
        <v>0.0</v>
      </c>
      <c r="E87" s="141">
        <f>SUM(I85:I87)</f>
        <v>276.1205625</v>
      </c>
      <c r="F87" s="141">
        <f>-$D$72*$O$51</f>
        <v>2000</v>
      </c>
      <c r="G87" s="141">
        <f t="shared" si="5"/>
        <v>2276.120563</v>
      </c>
      <c r="H87" s="141">
        <f t="shared" si="9"/>
        <v>1905.904438</v>
      </c>
      <c r="I87" s="141">
        <f t="shared" si="10"/>
        <v>94.0955625</v>
      </c>
      <c r="J87" s="141">
        <f t="shared" si="6"/>
        <v>2000</v>
      </c>
      <c r="K87" s="143">
        <v>0.175</v>
      </c>
      <c r="L87" s="141">
        <f>IF(G87&gt;0,(G87+($D$72*$O$51))*-K87,0)</f>
        <v>-48.32109844</v>
      </c>
      <c r="M87" s="144">
        <f t="shared" si="8"/>
        <v>2227.799464</v>
      </c>
      <c r="N87" s="66"/>
      <c r="O87" s="4"/>
      <c r="P87" s="4"/>
      <c r="Q87" s="3" t="s">
        <v>1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12.0" customHeight="1">
      <c r="A88" s="4"/>
      <c r="B88" s="138">
        <f t="shared" si="3"/>
        <v>16</v>
      </c>
      <c r="C88" s="139">
        <f t="shared" si="4"/>
        <v>45555</v>
      </c>
      <c r="D88" s="141">
        <v>0.0</v>
      </c>
      <c r="E88" s="141"/>
      <c r="F88" s="141"/>
      <c r="G88" s="141">
        <f t="shared" si="5"/>
        <v>0</v>
      </c>
      <c r="H88" s="141">
        <f t="shared" si="9"/>
        <v>2000</v>
      </c>
      <c r="I88" s="141">
        <f t="shared" si="10"/>
        <v>45</v>
      </c>
      <c r="J88" s="141">
        <f t="shared" si="6"/>
        <v>2045</v>
      </c>
      <c r="K88" s="143">
        <v>0.175</v>
      </c>
      <c r="L88" s="141">
        <f t="shared" ref="L88:L89" si="14">IF(G88&gt;0,(G88+($D$72*$O$47))*-K88,0)</f>
        <v>0</v>
      </c>
      <c r="M88" s="144">
        <f t="shared" si="8"/>
        <v>0</v>
      </c>
      <c r="N88" s="66"/>
      <c r="O88" s="4"/>
      <c r="P88" s="4"/>
      <c r="Q88" s="3" t="s">
        <v>1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12.0" customHeight="1">
      <c r="A89" s="4"/>
      <c r="B89" s="138">
        <f t="shared" si="3"/>
        <v>17</v>
      </c>
      <c r="C89" s="139">
        <f t="shared" si="4"/>
        <v>45585</v>
      </c>
      <c r="D89" s="141">
        <v>0.0</v>
      </c>
      <c r="E89" s="141"/>
      <c r="F89" s="141"/>
      <c r="G89" s="141">
        <f t="shared" si="5"/>
        <v>0</v>
      </c>
      <c r="H89" s="141">
        <f t="shared" si="9"/>
        <v>2045</v>
      </c>
      <c r="I89" s="141">
        <f t="shared" si="10"/>
        <v>46.0125</v>
      </c>
      <c r="J89" s="141">
        <f t="shared" si="6"/>
        <v>2091.0125</v>
      </c>
      <c r="K89" s="143">
        <v>0.175</v>
      </c>
      <c r="L89" s="141">
        <f t="shared" si="14"/>
        <v>0</v>
      </c>
      <c r="M89" s="144">
        <f t="shared" si="8"/>
        <v>0</v>
      </c>
      <c r="N89" s="66"/>
      <c r="O89" s="4"/>
      <c r="P89" s="4"/>
      <c r="Q89" s="3" t="s">
        <v>1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12.0" customHeight="1">
      <c r="A90" s="4"/>
      <c r="B90" s="145">
        <f t="shared" si="3"/>
        <v>18</v>
      </c>
      <c r="C90" s="146">
        <f t="shared" si="4"/>
        <v>45615</v>
      </c>
      <c r="D90" s="147">
        <v>0.0</v>
      </c>
      <c r="E90" s="147">
        <f>SUM(I88:I90)</f>
        <v>138.0602813</v>
      </c>
      <c r="F90" s="147">
        <f>-$D$72*$O$52</f>
        <v>2000</v>
      </c>
      <c r="G90" s="147">
        <f t="shared" si="5"/>
        <v>2138.060281</v>
      </c>
      <c r="H90" s="147">
        <f t="shared" si="9"/>
        <v>-47.04778125</v>
      </c>
      <c r="I90" s="147">
        <f t="shared" si="10"/>
        <v>47.04778125</v>
      </c>
      <c r="J90" s="147">
        <f t="shared" si="6"/>
        <v>0</v>
      </c>
      <c r="K90" s="148">
        <v>0.175</v>
      </c>
      <c r="L90" s="147">
        <f>IF(G90&gt;0,(G90+($D$72*$O$52))*-K90,0)</f>
        <v>-24.16054922</v>
      </c>
      <c r="M90" s="149">
        <f t="shared" si="8"/>
        <v>2113.899732</v>
      </c>
      <c r="N90" s="66"/>
      <c r="O90" s="4"/>
      <c r="P90" s="4"/>
      <c r="Q90" s="3" t="s">
        <v>1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12.0" customHeight="1">
      <c r="A91" s="4"/>
      <c r="B91" s="4"/>
      <c r="C91" s="4"/>
      <c r="D91" s="4"/>
      <c r="E91" s="4"/>
      <c r="F91" s="4"/>
      <c r="G91" s="66"/>
      <c r="H91" s="4"/>
      <c r="I91" s="4"/>
      <c r="J91" s="4"/>
      <c r="K91" s="4"/>
      <c r="L91" s="4"/>
      <c r="M91" s="4"/>
      <c r="N91" s="4"/>
      <c r="O91" s="4"/>
      <c r="P91" s="4"/>
      <c r="Q91" s="3" t="s">
        <v>1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12.0" customHeight="1">
      <c r="A92" s="3" t="s">
        <v>1</v>
      </c>
      <c r="B92" s="3" t="s">
        <v>1</v>
      </c>
      <c r="C92" s="3" t="s">
        <v>1</v>
      </c>
      <c r="D92" s="3" t="s">
        <v>1</v>
      </c>
      <c r="E92" s="3" t="s">
        <v>1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3" t="s">
        <v>1</v>
      </c>
      <c r="O92" s="3" t="s">
        <v>1</v>
      </c>
      <c r="P92" s="3" t="s">
        <v>1</v>
      </c>
      <c r="Q92" s="3" t="s">
        <v>1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12.0" customHeight="1">
      <c r="A94" s="4"/>
      <c r="B94" s="4"/>
      <c r="C94" s="4"/>
      <c r="D94" s="4"/>
      <c r="E94" s="150"/>
      <c r="F94" s="15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12.0" customHeight="1">
      <c r="A95" s="4"/>
      <c r="B95" s="4"/>
      <c r="C95" s="4"/>
      <c r="D95" s="4"/>
      <c r="E95" s="4"/>
      <c r="F95" s="15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mergeCells count="22">
    <mergeCell ref="A1:P4"/>
    <mergeCell ref="B7:O7"/>
    <mergeCell ref="D10:O10"/>
    <mergeCell ref="D16:O16"/>
    <mergeCell ref="D18:O18"/>
    <mergeCell ref="B22:M22"/>
    <mergeCell ref="B24:B25"/>
    <mergeCell ref="M24:M25"/>
    <mergeCell ref="G27:G28"/>
    <mergeCell ref="G30:G31"/>
    <mergeCell ref="G33:G34"/>
    <mergeCell ref="B30:B31"/>
    <mergeCell ref="B33:B34"/>
    <mergeCell ref="C33:D34"/>
    <mergeCell ref="C24:D25"/>
    <mergeCell ref="G24:G25"/>
    <mergeCell ref="B27:B28"/>
    <mergeCell ref="C27:D28"/>
    <mergeCell ref="M27:M28"/>
    <mergeCell ref="C30:D31"/>
    <mergeCell ref="M30:M31"/>
    <mergeCell ref="M33:M34"/>
  </mergeCells>
  <conditionalFormatting sqref="G58:G67">
    <cfRule type="cellIs" dxfId="0" priority="1" operator="equal">
      <formula>"Negativo"</formula>
    </cfRule>
  </conditionalFormatting>
  <conditionalFormatting sqref="G58:G67">
    <cfRule type="cellIs" dxfId="1" priority="2" operator="equal">
      <formula>"Positivo"</formula>
    </cfRule>
  </conditionalFormatting>
  <conditionalFormatting sqref="M59:M65">
    <cfRule type="cellIs" dxfId="0" priority="3" operator="equal">
      <formula>"Negativo"</formula>
    </cfRule>
  </conditionalFormatting>
  <conditionalFormatting sqref="M59:M65">
    <cfRule type="cellIs" dxfId="1" priority="4" operator="equal">
      <formula>"Positivo"</formula>
    </cfRule>
  </conditionalFormatting>
  <hyperlinks>
    <hyperlink r:id="rId1" ref="M24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1000000.0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1516999.745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-97010.06453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156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-1000000</v>
      </c>
      <c r="E62" s="165"/>
      <c r="F62" s="165"/>
      <c r="G62" s="166">
        <f>D62</f>
        <v>-1000000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-1000000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1000000</v>
      </c>
      <c r="I63" s="171">
        <f>H63*$D$51</f>
        <v>19000</v>
      </c>
      <c r="J63" s="171">
        <f t="shared" ref="J63:J98" si="2">I63+H63</f>
        <v>1019000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1019000</v>
      </c>
      <c r="I64" s="171">
        <f t="shared" ref="I64:I98" si="6">J63*$D$51</f>
        <v>19361</v>
      </c>
      <c r="J64" s="171">
        <f t="shared" si="2"/>
        <v>1038361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58089.859</v>
      </c>
      <c r="F65" s="171"/>
      <c r="G65" s="171">
        <f t="shared" si="1"/>
        <v>58089.859</v>
      </c>
      <c r="H65" s="171">
        <f t="shared" si="5"/>
        <v>980271.141</v>
      </c>
      <c r="I65" s="171">
        <f t="shared" si="6"/>
        <v>19728.859</v>
      </c>
      <c r="J65" s="171">
        <f t="shared" si="2"/>
        <v>1000000</v>
      </c>
      <c r="K65" s="172">
        <v>0.225</v>
      </c>
      <c r="L65" s="171">
        <f t="shared" si="3"/>
        <v>-13070.21828</v>
      </c>
      <c r="M65" s="173">
        <f t="shared" si="4"/>
        <v>45019.64073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1000000</v>
      </c>
      <c r="I66" s="171">
        <f t="shared" si="6"/>
        <v>19000</v>
      </c>
      <c r="J66" s="171">
        <f t="shared" si="2"/>
        <v>1019000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1019000</v>
      </c>
      <c r="I67" s="171">
        <f t="shared" si="6"/>
        <v>19361</v>
      </c>
      <c r="J67" s="171">
        <f t="shared" si="2"/>
        <v>1038361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58089.859</v>
      </c>
      <c r="F68" s="171"/>
      <c r="G68" s="171">
        <f t="shared" si="1"/>
        <v>58089.859</v>
      </c>
      <c r="H68" s="171">
        <f t="shared" si="5"/>
        <v>980271.141</v>
      </c>
      <c r="I68" s="171">
        <f t="shared" si="6"/>
        <v>19728.859</v>
      </c>
      <c r="J68" s="171">
        <f t="shared" si="2"/>
        <v>1000000</v>
      </c>
      <c r="K68" s="172">
        <v>0.225</v>
      </c>
      <c r="L68" s="171">
        <f t="shared" si="3"/>
        <v>-13070.21828</v>
      </c>
      <c r="M68" s="173">
        <f t="shared" si="4"/>
        <v>45019.64073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1000000</v>
      </c>
      <c r="I69" s="171">
        <f t="shared" si="6"/>
        <v>19000</v>
      </c>
      <c r="J69" s="171">
        <f t="shared" si="2"/>
        <v>1019000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1019000</v>
      </c>
      <c r="I70" s="171">
        <f t="shared" si="6"/>
        <v>19361</v>
      </c>
      <c r="J70" s="171">
        <f t="shared" si="2"/>
        <v>1038361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58089.859</v>
      </c>
      <c r="F71" s="171"/>
      <c r="G71" s="171">
        <f t="shared" si="1"/>
        <v>58089.859</v>
      </c>
      <c r="H71" s="171">
        <f t="shared" si="5"/>
        <v>980271.141</v>
      </c>
      <c r="I71" s="171">
        <f t="shared" si="6"/>
        <v>19728.859</v>
      </c>
      <c r="J71" s="171">
        <f t="shared" si="2"/>
        <v>1000000</v>
      </c>
      <c r="K71" s="172">
        <v>0.2</v>
      </c>
      <c r="L71" s="171">
        <f t="shared" si="3"/>
        <v>-11617.9718</v>
      </c>
      <c r="M71" s="173">
        <f t="shared" si="4"/>
        <v>46471.8872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1000000</v>
      </c>
      <c r="I72" s="171">
        <f t="shared" si="6"/>
        <v>19000</v>
      </c>
      <c r="J72" s="171">
        <f t="shared" si="2"/>
        <v>1019000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1019000</v>
      </c>
      <c r="I73" s="171">
        <f t="shared" si="6"/>
        <v>19361</v>
      </c>
      <c r="J73" s="171">
        <f t="shared" si="2"/>
        <v>1038361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58089.859</v>
      </c>
      <c r="F74" s="171"/>
      <c r="G74" s="171">
        <f t="shared" si="1"/>
        <v>58089.859</v>
      </c>
      <c r="H74" s="171">
        <f t="shared" si="5"/>
        <v>980271.141</v>
      </c>
      <c r="I74" s="171">
        <f t="shared" si="6"/>
        <v>19728.859</v>
      </c>
      <c r="J74" s="171">
        <f t="shared" si="2"/>
        <v>1000000</v>
      </c>
      <c r="K74" s="172">
        <v>0.2</v>
      </c>
      <c r="L74" s="171">
        <f t="shared" si="3"/>
        <v>-11617.9718</v>
      </c>
      <c r="M74" s="173">
        <f t="shared" si="4"/>
        <v>46471.8872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1000000</v>
      </c>
      <c r="I75" s="171">
        <f t="shared" si="6"/>
        <v>19000</v>
      </c>
      <c r="J75" s="171">
        <f t="shared" si="2"/>
        <v>1019000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1019000</v>
      </c>
      <c r="I76" s="171">
        <f t="shared" si="6"/>
        <v>19361</v>
      </c>
      <c r="J76" s="171">
        <f t="shared" si="2"/>
        <v>1038361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58089.859</v>
      </c>
      <c r="F77" s="171">
        <f>-$D$62*$O$48</f>
        <v>100000</v>
      </c>
      <c r="G77" s="171">
        <f t="shared" si="1"/>
        <v>158089.859</v>
      </c>
      <c r="H77" s="171">
        <f t="shared" si="5"/>
        <v>880271.141</v>
      </c>
      <c r="I77" s="171">
        <f t="shared" si="6"/>
        <v>19728.859</v>
      </c>
      <c r="J77" s="171">
        <f t="shared" si="2"/>
        <v>900000</v>
      </c>
      <c r="K77" s="172">
        <v>0.175</v>
      </c>
      <c r="L77" s="171">
        <f t="shared" si="3"/>
        <v>-10165.72533</v>
      </c>
      <c r="M77" s="173">
        <f t="shared" si="4"/>
        <v>147924.1337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900000</v>
      </c>
      <c r="I78" s="171">
        <f t="shared" si="6"/>
        <v>17100</v>
      </c>
      <c r="J78" s="171">
        <f t="shared" si="2"/>
        <v>917100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917100</v>
      </c>
      <c r="I79" s="171">
        <f t="shared" si="6"/>
        <v>17424.9</v>
      </c>
      <c r="J79" s="171">
        <f t="shared" si="2"/>
        <v>934524.9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52280.8731</v>
      </c>
      <c r="F80" s="171">
        <f>-$D$62*$O$49</f>
        <v>100000</v>
      </c>
      <c r="G80" s="171">
        <f t="shared" si="1"/>
        <v>152280.8731</v>
      </c>
      <c r="H80" s="171">
        <f t="shared" si="5"/>
        <v>782244.0269</v>
      </c>
      <c r="I80" s="171">
        <f t="shared" si="6"/>
        <v>17755.9731</v>
      </c>
      <c r="J80" s="171">
        <f t="shared" si="2"/>
        <v>800000</v>
      </c>
      <c r="K80" s="172">
        <v>0.175</v>
      </c>
      <c r="L80" s="171">
        <f t="shared" si="3"/>
        <v>-9149.152793</v>
      </c>
      <c r="M80" s="173">
        <f t="shared" si="4"/>
        <v>143131.7203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800000</v>
      </c>
      <c r="I81" s="171">
        <f t="shared" si="6"/>
        <v>15200</v>
      </c>
      <c r="J81" s="171">
        <f t="shared" si="2"/>
        <v>815200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815200</v>
      </c>
      <c r="I82" s="171">
        <f t="shared" si="6"/>
        <v>15488.8</v>
      </c>
      <c r="J82" s="171">
        <f t="shared" si="2"/>
        <v>830688.8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46471.8872</v>
      </c>
      <c r="F83" s="171">
        <f>-$D$62*$O$50</f>
        <v>100000</v>
      </c>
      <c r="G83" s="171">
        <f t="shared" si="1"/>
        <v>146471.8872</v>
      </c>
      <c r="H83" s="171">
        <f t="shared" si="5"/>
        <v>684216.9128</v>
      </c>
      <c r="I83" s="171">
        <f t="shared" si="6"/>
        <v>15783.0872</v>
      </c>
      <c r="J83" s="171">
        <f t="shared" si="2"/>
        <v>700000</v>
      </c>
      <c r="K83" s="172">
        <v>0.175</v>
      </c>
      <c r="L83" s="171">
        <f t="shared" si="3"/>
        <v>-8132.58026</v>
      </c>
      <c r="M83" s="173">
        <f t="shared" si="4"/>
        <v>138339.3069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700000</v>
      </c>
      <c r="I84" s="171">
        <f t="shared" si="6"/>
        <v>13300</v>
      </c>
      <c r="J84" s="171">
        <f t="shared" si="2"/>
        <v>713300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713300</v>
      </c>
      <c r="I85" s="171">
        <f t="shared" si="6"/>
        <v>13552.7</v>
      </c>
      <c r="J85" s="171">
        <f t="shared" si="2"/>
        <v>726852.7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40662.9013</v>
      </c>
      <c r="F86" s="171">
        <f>-$D$62*$O$51</f>
        <v>100000</v>
      </c>
      <c r="G86" s="171">
        <f t="shared" si="1"/>
        <v>140662.9013</v>
      </c>
      <c r="H86" s="171">
        <f t="shared" si="5"/>
        <v>586189.7987</v>
      </c>
      <c r="I86" s="171">
        <f t="shared" si="6"/>
        <v>13810.2013</v>
      </c>
      <c r="J86" s="171">
        <f t="shared" si="2"/>
        <v>600000</v>
      </c>
      <c r="K86" s="172">
        <v>0.175</v>
      </c>
      <c r="L86" s="171">
        <f t="shared" si="3"/>
        <v>-7116.007728</v>
      </c>
      <c r="M86" s="173">
        <f t="shared" si="4"/>
        <v>133546.8936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600000</v>
      </c>
      <c r="I87" s="171">
        <f t="shared" si="6"/>
        <v>11400</v>
      </c>
      <c r="J87" s="171">
        <f t="shared" si="2"/>
        <v>611400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611400</v>
      </c>
      <c r="I88" s="171">
        <f t="shared" si="6"/>
        <v>11616.6</v>
      </c>
      <c r="J88" s="171">
        <f t="shared" si="2"/>
        <v>623016.6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34853.9154</v>
      </c>
      <c r="F89" s="171">
        <f>-$D$62*$O$52</f>
        <v>150000</v>
      </c>
      <c r="G89" s="171">
        <f t="shared" si="1"/>
        <v>184853.9154</v>
      </c>
      <c r="H89" s="171">
        <f t="shared" si="5"/>
        <v>438162.6846</v>
      </c>
      <c r="I89" s="171">
        <f t="shared" si="6"/>
        <v>11837.3154</v>
      </c>
      <c r="J89" s="171">
        <f t="shared" si="2"/>
        <v>450000</v>
      </c>
      <c r="K89" s="172">
        <v>0.15</v>
      </c>
      <c r="L89" s="171">
        <f t="shared" si="3"/>
        <v>-5228.08731</v>
      </c>
      <c r="M89" s="173">
        <f t="shared" si="4"/>
        <v>179625.8281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450000</v>
      </c>
      <c r="I90" s="171">
        <f t="shared" si="6"/>
        <v>8550</v>
      </c>
      <c r="J90" s="171">
        <f t="shared" si="2"/>
        <v>458550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458550</v>
      </c>
      <c r="I91" s="171">
        <f t="shared" si="6"/>
        <v>8712.45</v>
      </c>
      <c r="J91" s="171">
        <f t="shared" si="2"/>
        <v>467262.45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26140.43655</v>
      </c>
      <c r="F92" s="171">
        <f>-$D$62*$O$53</f>
        <v>150000</v>
      </c>
      <c r="G92" s="171">
        <f t="shared" si="1"/>
        <v>176140.4366</v>
      </c>
      <c r="H92" s="171">
        <f t="shared" si="5"/>
        <v>291122.0135</v>
      </c>
      <c r="I92" s="171">
        <f t="shared" si="6"/>
        <v>8877.98655</v>
      </c>
      <c r="J92" s="171">
        <f t="shared" si="2"/>
        <v>300000</v>
      </c>
      <c r="K92" s="172">
        <v>0.15</v>
      </c>
      <c r="L92" s="171">
        <f t="shared" si="3"/>
        <v>-3921.065483</v>
      </c>
      <c r="M92" s="173">
        <f t="shared" si="4"/>
        <v>172219.3711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300000</v>
      </c>
      <c r="I93" s="171">
        <f t="shared" si="6"/>
        <v>5700</v>
      </c>
      <c r="J93" s="171">
        <f t="shared" si="2"/>
        <v>305700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305700</v>
      </c>
      <c r="I94" s="171">
        <f t="shared" si="6"/>
        <v>5808.3</v>
      </c>
      <c r="J94" s="171">
        <f t="shared" si="2"/>
        <v>311508.3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17426.9577</v>
      </c>
      <c r="F95" s="171">
        <f>-$D$62*$O$54</f>
        <v>150000</v>
      </c>
      <c r="G95" s="171">
        <f t="shared" si="1"/>
        <v>167426.9577</v>
      </c>
      <c r="H95" s="171">
        <f t="shared" si="5"/>
        <v>144081.3423</v>
      </c>
      <c r="I95" s="171">
        <f t="shared" si="6"/>
        <v>5918.6577</v>
      </c>
      <c r="J95" s="171">
        <f t="shared" si="2"/>
        <v>150000</v>
      </c>
      <c r="K95" s="172">
        <v>0.15</v>
      </c>
      <c r="L95" s="171">
        <f t="shared" si="3"/>
        <v>-2614.043655</v>
      </c>
      <c r="M95" s="173">
        <f t="shared" si="4"/>
        <v>164812.914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150000</v>
      </c>
      <c r="I96" s="171">
        <f t="shared" si="6"/>
        <v>2850</v>
      </c>
      <c r="J96" s="171">
        <f t="shared" si="2"/>
        <v>152850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152850</v>
      </c>
      <c r="I97" s="171">
        <f t="shared" si="6"/>
        <v>2904.15</v>
      </c>
      <c r="J97" s="171">
        <f t="shared" si="2"/>
        <v>155754.15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8713.47885</v>
      </c>
      <c r="F98" s="176">
        <f>-$D$62*$O$54</f>
        <v>150000</v>
      </c>
      <c r="G98" s="176">
        <f t="shared" si="1"/>
        <v>158713.4789</v>
      </c>
      <c r="H98" s="176">
        <f t="shared" si="5"/>
        <v>-2959.32885</v>
      </c>
      <c r="I98" s="176">
        <f t="shared" si="6"/>
        <v>2959.32885</v>
      </c>
      <c r="J98" s="176">
        <f t="shared" si="2"/>
        <v>0</v>
      </c>
      <c r="K98" s="177">
        <v>0.15</v>
      </c>
      <c r="L98" s="176">
        <f t="shared" si="3"/>
        <v>-1307.021828</v>
      </c>
      <c r="M98" s="178">
        <f t="shared" si="4"/>
        <v>157406.457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1000.0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1516.999745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-97.01006453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48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-1000</v>
      </c>
      <c r="E62" s="165"/>
      <c r="F62" s="165"/>
      <c r="G62" s="166">
        <f>D62</f>
        <v>-1000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-1000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1000</v>
      </c>
      <c r="I63" s="171">
        <f>H63*$D$51</f>
        <v>19</v>
      </c>
      <c r="J63" s="171">
        <f t="shared" ref="J63:J98" si="2">I63+H63</f>
        <v>1019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1019</v>
      </c>
      <c r="I64" s="171">
        <f t="shared" ref="I64:I98" si="6">J63*$D$51</f>
        <v>19.361</v>
      </c>
      <c r="J64" s="171">
        <f t="shared" si="2"/>
        <v>1038.361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58.089859</v>
      </c>
      <c r="F65" s="171"/>
      <c r="G65" s="171">
        <f t="shared" si="1"/>
        <v>58.089859</v>
      </c>
      <c r="H65" s="171">
        <f t="shared" si="5"/>
        <v>980.271141</v>
      </c>
      <c r="I65" s="171">
        <f t="shared" si="6"/>
        <v>19.728859</v>
      </c>
      <c r="J65" s="171">
        <f t="shared" si="2"/>
        <v>1000</v>
      </c>
      <c r="K65" s="172">
        <v>0.225</v>
      </c>
      <c r="L65" s="171">
        <f t="shared" si="3"/>
        <v>-13.07021828</v>
      </c>
      <c r="M65" s="173">
        <f t="shared" si="4"/>
        <v>45.01964073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1000</v>
      </c>
      <c r="I66" s="171">
        <f t="shared" si="6"/>
        <v>19</v>
      </c>
      <c r="J66" s="171">
        <f t="shared" si="2"/>
        <v>1019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1019</v>
      </c>
      <c r="I67" s="171">
        <f t="shared" si="6"/>
        <v>19.361</v>
      </c>
      <c r="J67" s="171">
        <f t="shared" si="2"/>
        <v>1038.361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58.089859</v>
      </c>
      <c r="F68" s="171"/>
      <c r="G68" s="171">
        <f t="shared" si="1"/>
        <v>58.089859</v>
      </c>
      <c r="H68" s="171">
        <f t="shared" si="5"/>
        <v>980.271141</v>
      </c>
      <c r="I68" s="171">
        <f t="shared" si="6"/>
        <v>19.728859</v>
      </c>
      <c r="J68" s="171">
        <f t="shared" si="2"/>
        <v>1000</v>
      </c>
      <c r="K68" s="172">
        <v>0.225</v>
      </c>
      <c r="L68" s="171">
        <f t="shared" si="3"/>
        <v>-13.07021828</v>
      </c>
      <c r="M68" s="173">
        <f t="shared" si="4"/>
        <v>45.01964073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1000</v>
      </c>
      <c r="I69" s="171">
        <f t="shared" si="6"/>
        <v>19</v>
      </c>
      <c r="J69" s="171">
        <f t="shared" si="2"/>
        <v>1019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1019</v>
      </c>
      <c r="I70" s="171">
        <f t="shared" si="6"/>
        <v>19.361</v>
      </c>
      <c r="J70" s="171">
        <f t="shared" si="2"/>
        <v>1038.361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58.089859</v>
      </c>
      <c r="F71" s="171"/>
      <c r="G71" s="171">
        <f t="shared" si="1"/>
        <v>58.089859</v>
      </c>
      <c r="H71" s="171">
        <f t="shared" si="5"/>
        <v>980.271141</v>
      </c>
      <c r="I71" s="171">
        <f t="shared" si="6"/>
        <v>19.728859</v>
      </c>
      <c r="J71" s="171">
        <f t="shared" si="2"/>
        <v>1000</v>
      </c>
      <c r="K71" s="172">
        <v>0.2</v>
      </c>
      <c r="L71" s="171">
        <f t="shared" si="3"/>
        <v>-11.6179718</v>
      </c>
      <c r="M71" s="173">
        <f t="shared" si="4"/>
        <v>46.4718872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1000</v>
      </c>
      <c r="I72" s="171">
        <f t="shared" si="6"/>
        <v>19</v>
      </c>
      <c r="J72" s="171">
        <f t="shared" si="2"/>
        <v>1019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1019</v>
      </c>
      <c r="I73" s="171">
        <f t="shared" si="6"/>
        <v>19.361</v>
      </c>
      <c r="J73" s="171">
        <f t="shared" si="2"/>
        <v>1038.361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58.089859</v>
      </c>
      <c r="F74" s="171"/>
      <c r="G74" s="171">
        <f t="shared" si="1"/>
        <v>58.089859</v>
      </c>
      <c r="H74" s="171">
        <f t="shared" si="5"/>
        <v>980.271141</v>
      </c>
      <c r="I74" s="171">
        <f t="shared" si="6"/>
        <v>19.728859</v>
      </c>
      <c r="J74" s="171">
        <f t="shared" si="2"/>
        <v>1000</v>
      </c>
      <c r="K74" s="172">
        <v>0.2</v>
      </c>
      <c r="L74" s="171">
        <f t="shared" si="3"/>
        <v>-11.6179718</v>
      </c>
      <c r="M74" s="173">
        <f t="shared" si="4"/>
        <v>46.4718872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1000</v>
      </c>
      <c r="I75" s="171">
        <f t="shared" si="6"/>
        <v>19</v>
      </c>
      <c r="J75" s="171">
        <f t="shared" si="2"/>
        <v>1019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1019</v>
      </c>
      <c r="I76" s="171">
        <f t="shared" si="6"/>
        <v>19.361</v>
      </c>
      <c r="J76" s="171">
        <f t="shared" si="2"/>
        <v>1038.361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58.089859</v>
      </c>
      <c r="F77" s="171">
        <f>-$D$62*$O$48</f>
        <v>100</v>
      </c>
      <c r="G77" s="171">
        <f t="shared" si="1"/>
        <v>158.089859</v>
      </c>
      <c r="H77" s="171">
        <f t="shared" si="5"/>
        <v>880.271141</v>
      </c>
      <c r="I77" s="171">
        <f t="shared" si="6"/>
        <v>19.728859</v>
      </c>
      <c r="J77" s="171">
        <f t="shared" si="2"/>
        <v>900</v>
      </c>
      <c r="K77" s="172">
        <v>0.175</v>
      </c>
      <c r="L77" s="171">
        <f t="shared" si="3"/>
        <v>-10.16572533</v>
      </c>
      <c r="M77" s="173">
        <f t="shared" si="4"/>
        <v>147.9241337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900</v>
      </c>
      <c r="I78" s="171">
        <f t="shared" si="6"/>
        <v>17.1</v>
      </c>
      <c r="J78" s="171">
        <f t="shared" si="2"/>
        <v>917.1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917.1</v>
      </c>
      <c r="I79" s="171">
        <f t="shared" si="6"/>
        <v>17.4249</v>
      </c>
      <c r="J79" s="171">
        <f t="shared" si="2"/>
        <v>934.5249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52.2808731</v>
      </c>
      <c r="F80" s="171">
        <f>-$D$62*$O$49</f>
        <v>100</v>
      </c>
      <c r="G80" s="171">
        <f t="shared" si="1"/>
        <v>152.2808731</v>
      </c>
      <c r="H80" s="171">
        <f t="shared" si="5"/>
        <v>782.2440269</v>
      </c>
      <c r="I80" s="171">
        <f t="shared" si="6"/>
        <v>17.7559731</v>
      </c>
      <c r="J80" s="171">
        <f t="shared" si="2"/>
        <v>800</v>
      </c>
      <c r="K80" s="172">
        <v>0.175</v>
      </c>
      <c r="L80" s="171">
        <f t="shared" si="3"/>
        <v>-9.149152793</v>
      </c>
      <c r="M80" s="173">
        <f t="shared" si="4"/>
        <v>143.1317203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800</v>
      </c>
      <c r="I81" s="171">
        <f t="shared" si="6"/>
        <v>15.2</v>
      </c>
      <c r="J81" s="171">
        <f t="shared" si="2"/>
        <v>815.2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815.2</v>
      </c>
      <c r="I82" s="171">
        <f t="shared" si="6"/>
        <v>15.4888</v>
      </c>
      <c r="J82" s="171">
        <f t="shared" si="2"/>
        <v>830.6888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46.4718872</v>
      </c>
      <c r="F83" s="171">
        <f>-$D$62*$O$50</f>
        <v>100</v>
      </c>
      <c r="G83" s="171">
        <f t="shared" si="1"/>
        <v>146.4718872</v>
      </c>
      <c r="H83" s="171">
        <f t="shared" si="5"/>
        <v>684.2169128</v>
      </c>
      <c r="I83" s="171">
        <f t="shared" si="6"/>
        <v>15.7830872</v>
      </c>
      <c r="J83" s="171">
        <f t="shared" si="2"/>
        <v>700</v>
      </c>
      <c r="K83" s="172">
        <v>0.175</v>
      </c>
      <c r="L83" s="171">
        <f t="shared" si="3"/>
        <v>-8.13258026</v>
      </c>
      <c r="M83" s="173">
        <f t="shared" si="4"/>
        <v>138.3393069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700</v>
      </c>
      <c r="I84" s="171">
        <f t="shared" si="6"/>
        <v>13.3</v>
      </c>
      <c r="J84" s="171">
        <f t="shared" si="2"/>
        <v>713.3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713.3</v>
      </c>
      <c r="I85" s="171">
        <f t="shared" si="6"/>
        <v>13.5527</v>
      </c>
      <c r="J85" s="171">
        <f t="shared" si="2"/>
        <v>726.8527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40.6629013</v>
      </c>
      <c r="F86" s="171">
        <f>-$D$62*$O$51</f>
        <v>100</v>
      </c>
      <c r="G86" s="171">
        <f t="shared" si="1"/>
        <v>140.6629013</v>
      </c>
      <c r="H86" s="171">
        <f t="shared" si="5"/>
        <v>586.1897987</v>
      </c>
      <c r="I86" s="171">
        <f t="shared" si="6"/>
        <v>13.8102013</v>
      </c>
      <c r="J86" s="171">
        <f t="shared" si="2"/>
        <v>600</v>
      </c>
      <c r="K86" s="172">
        <v>0.175</v>
      </c>
      <c r="L86" s="171">
        <f t="shared" si="3"/>
        <v>-7.116007728</v>
      </c>
      <c r="M86" s="173">
        <f t="shared" si="4"/>
        <v>133.5468936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600</v>
      </c>
      <c r="I87" s="171">
        <f t="shared" si="6"/>
        <v>11.4</v>
      </c>
      <c r="J87" s="171">
        <f t="shared" si="2"/>
        <v>611.4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611.4</v>
      </c>
      <c r="I88" s="171">
        <f t="shared" si="6"/>
        <v>11.6166</v>
      </c>
      <c r="J88" s="171">
        <f t="shared" si="2"/>
        <v>623.0166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34.8539154</v>
      </c>
      <c r="F89" s="171">
        <f>-$D$62*$O$52</f>
        <v>150</v>
      </c>
      <c r="G89" s="171">
        <f t="shared" si="1"/>
        <v>184.8539154</v>
      </c>
      <c r="H89" s="171">
        <f t="shared" si="5"/>
        <v>438.1626846</v>
      </c>
      <c r="I89" s="171">
        <f t="shared" si="6"/>
        <v>11.8373154</v>
      </c>
      <c r="J89" s="171">
        <f t="shared" si="2"/>
        <v>450</v>
      </c>
      <c r="K89" s="172">
        <v>0.15</v>
      </c>
      <c r="L89" s="171">
        <f t="shared" si="3"/>
        <v>-5.22808731</v>
      </c>
      <c r="M89" s="173">
        <f t="shared" si="4"/>
        <v>179.6258281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450</v>
      </c>
      <c r="I90" s="171">
        <f t="shared" si="6"/>
        <v>8.55</v>
      </c>
      <c r="J90" s="171">
        <f t="shared" si="2"/>
        <v>458.55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458.55</v>
      </c>
      <c r="I91" s="171">
        <f t="shared" si="6"/>
        <v>8.71245</v>
      </c>
      <c r="J91" s="171">
        <f t="shared" si="2"/>
        <v>467.26245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26.14043655</v>
      </c>
      <c r="F92" s="171">
        <f>-$D$62*$O$53</f>
        <v>150</v>
      </c>
      <c r="G92" s="171">
        <f t="shared" si="1"/>
        <v>176.1404366</v>
      </c>
      <c r="H92" s="171">
        <f t="shared" si="5"/>
        <v>291.1220135</v>
      </c>
      <c r="I92" s="171">
        <f t="shared" si="6"/>
        <v>8.87798655</v>
      </c>
      <c r="J92" s="171">
        <f t="shared" si="2"/>
        <v>300</v>
      </c>
      <c r="K92" s="172">
        <v>0.15</v>
      </c>
      <c r="L92" s="171">
        <f t="shared" si="3"/>
        <v>-3.921065483</v>
      </c>
      <c r="M92" s="173">
        <f t="shared" si="4"/>
        <v>172.2193711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300</v>
      </c>
      <c r="I93" s="171">
        <f t="shared" si="6"/>
        <v>5.7</v>
      </c>
      <c r="J93" s="171">
        <f t="shared" si="2"/>
        <v>305.7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305.7</v>
      </c>
      <c r="I94" s="171">
        <f t="shared" si="6"/>
        <v>5.8083</v>
      </c>
      <c r="J94" s="171">
        <f t="shared" si="2"/>
        <v>311.5083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17.4269577</v>
      </c>
      <c r="F95" s="171">
        <f>-$D$62*$O$54</f>
        <v>150</v>
      </c>
      <c r="G95" s="171">
        <f t="shared" si="1"/>
        <v>167.4269577</v>
      </c>
      <c r="H95" s="171">
        <f t="shared" si="5"/>
        <v>144.0813423</v>
      </c>
      <c r="I95" s="171">
        <f t="shared" si="6"/>
        <v>5.9186577</v>
      </c>
      <c r="J95" s="171">
        <f t="shared" si="2"/>
        <v>150</v>
      </c>
      <c r="K95" s="172">
        <v>0.15</v>
      </c>
      <c r="L95" s="171">
        <f t="shared" si="3"/>
        <v>-2.614043655</v>
      </c>
      <c r="M95" s="173">
        <f t="shared" si="4"/>
        <v>164.812914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150</v>
      </c>
      <c r="I96" s="171">
        <f t="shared" si="6"/>
        <v>2.85</v>
      </c>
      <c r="J96" s="171">
        <f t="shared" si="2"/>
        <v>152.85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152.85</v>
      </c>
      <c r="I97" s="171">
        <f t="shared" si="6"/>
        <v>2.90415</v>
      </c>
      <c r="J97" s="171">
        <f t="shared" si="2"/>
        <v>155.75415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8.71347885</v>
      </c>
      <c r="F98" s="176">
        <f>-$D$62*$O$54</f>
        <v>150</v>
      </c>
      <c r="G98" s="176">
        <f t="shared" si="1"/>
        <v>158.7134789</v>
      </c>
      <c r="H98" s="176">
        <f t="shared" si="5"/>
        <v>-2.95932885</v>
      </c>
      <c r="I98" s="176">
        <f t="shared" si="6"/>
        <v>2.95932885</v>
      </c>
      <c r="J98" s="176">
        <f t="shared" si="2"/>
        <v>0</v>
      </c>
      <c r="K98" s="177">
        <v>0.15</v>
      </c>
      <c r="L98" s="176">
        <f t="shared" si="3"/>
        <v>-1.307021828</v>
      </c>
      <c r="M98" s="178">
        <f t="shared" si="4"/>
        <v>157.406457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5000.0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7584.998726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-485.0503227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48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-5000</v>
      </c>
      <c r="E62" s="165"/>
      <c r="F62" s="165"/>
      <c r="G62" s="166">
        <f>D62</f>
        <v>-5000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-5000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5000</v>
      </c>
      <c r="I63" s="171">
        <f>H63*$D$51</f>
        <v>95</v>
      </c>
      <c r="J63" s="171">
        <f t="shared" ref="J63:J98" si="2">I63+H63</f>
        <v>5095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5095</v>
      </c>
      <c r="I64" s="171">
        <f t="shared" ref="I64:I98" si="6">J63*$D$51</f>
        <v>96.805</v>
      </c>
      <c r="J64" s="171">
        <f t="shared" si="2"/>
        <v>5191.805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290.449295</v>
      </c>
      <c r="F65" s="171"/>
      <c r="G65" s="171">
        <f t="shared" si="1"/>
        <v>290.449295</v>
      </c>
      <c r="H65" s="171">
        <f t="shared" si="5"/>
        <v>4901.355705</v>
      </c>
      <c r="I65" s="171">
        <f t="shared" si="6"/>
        <v>98.644295</v>
      </c>
      <c r="J65" s="171">
        <f t="shared" si="2"/>
        <v>5000</v>
      </c>
      <c r="K65" s="172">
        <v>0.225</v>
      </c>
      <c r="L65" s="171">
        <f t="shared" si="3"/>
        <v>-65.35109138</v>
      </c>
      <c r="M65" s="173">
        <f t="shared" si="4"/>
        <v>225.0982036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5000</v>
      </c>
      <c r="I66" s="171">
        <f t="shared" si="6"/>
        <v>95</v>
      </c>
      <c r="J66" s="171">
        <f t="shared" si="2"/>
        <v>5095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5095</v>
      </c>
      <c r="I67" s="171">
        <f t="shared" si="6"/>
        <v>96.805</v>
      </c>
      <c r="J67" s="171">
        <f t="shared" si="2"/>
        <v>5191.805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290.449295</v>
      </c>
      <c r="F68" s="171"/>
      <c r="G68" s="171">
        <f t="shared" si="1"/>
        <v>290.449295</v>
      </c>
      <c r="H68" s="171">
        <f t="shared" si="5"/>
        <v>4901.355705</v>
      </c>
      <c r="I68" s="171">
        <f t="shared" si="6"/>
        <v>98.644295</v>
      </c>
      <c r="J68" s="171">
        <f t="shared" si="2"/>
        <v>5000</v>
      </c>
      <c r="K68" s="172">
        <v>0.225</v>
      </c>
      <c r="L68" s="171">
        <f t="shared" si="3"/>
        <v>-65.35109138</v>
      </c>
      <c r="M68" s="173">
        <f t="shared" si="4"/>
        <v>225.0982036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5000</v>
      </c>
      <c r="I69" s="171">
        <f t="shared" si="6"/>
        <v>95</v>
      </c>
      <c r="J69" s="171">
        <f t="shared" si="2"/>
        <v>5095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5095</v>
      </c>
      <c r="I70" s="171">
        <f t="shared" si="6"/>
        <v>96.805</v>
      </c>
      <c r="J70" s="171">
        <f t="shared" si="2"/>
        <v>5191.805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290.449295</v>
      </c>
      <c r="F71" s="171"/>
      <c r="G71" s="171">
        <f t="shared" si="1"/>
        <v>290.449295</v>
      </c>
      <c r="H71" s="171">
        <f t="shared" si="5"/>
        <v>4901.355705</v>
      </c>
      <c r="I71" s="171">
        <f t="shared" si="6"/>
        <v>98.644295</v>
      </c>
      <c r="J71" s="171">
        <f t="shared" si="2"/>
        <v>5000</v>
      </c>
      <c r="K71" s="172">
        <v>0.2</v>
      </c>
      <c r="L71" s="171">
        <f t="shared" si="3"/>
        <v>-58.089859</v>
      </c>
      <c r="M71" s="173">
        <f t="shared" si="4"/>
        <v>232.359436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5000</v>
      </c>
      <c r="I72" s="171">
        <f t="shared" si="6"/>
        <v>95</v>
      </c>
      <c r="J72" s="171">
        <f t="shared" si="2"/>
        <v>5095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5095</v>
      </c>
      <c r="I73" s="171">
        <f t="shared" si="6"/>
        <v>96.805</v>
      </c>
      <c r="J73" s="171">
        <f t="shared" si="2"/>
        <v>5191.805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290.449295</v>
      </c>
      <c r="F74" s="171"/>
      <c r="G74" s="171">
        <f t="shared" si="1"/>
        <v>290.449295</v>
      </c>
      <c r="H74" s="171">
        <f t="shared" si="5"/>
        <v>4901.355705</v>
      </c>
      <c r="I74" s="171">
        <f t="shared" si="6"/>
        <v>98.644295</v>
      </c>
      <c r="J74" s="171">
        <f t="shared" si="2"/>
        <v>5000</v>
      </c>
      <c r="K74" s="172">
        <v>0.2</v>
      </c>
      <c r="L74" s="171">
        <f t="shared" si="3"/>
        <v>-58.089859</v>
      </c>
      <c r="M74" s="173">
        <f t="shared" si="4"/>
        <v>232.359436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5000</v>
      </c>
      <c r="I75" s="171">
        <f t="shared" si="6"/>
        <v>95</v>
      </c>
      <c r="J75" s="171">
        <f t="shared" si="2"/>
        <v>5095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5095</v>
      </c>
      <c r="I76" s="171">
        <f t="shared" si="6"/>
        <v>96.805</v>
      </c>
      <c r="J76" s="171">
        <f t="shared" si="2"/>
        <v>5191.805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290.449295</v>
      </c>
      <c r="F77" s="171">
        <f>-$D$62*$O$48</f>
        <v>500</v>
      </c>
      <c r="G77" s="171">
        <f t="shared" si="1"/>
        <v>790.449295</v>
      </c>
      <c r="H77" s="171">
        <f t="shared" si="5"/>
        <v>4401.355705</v>
      </c>
      <c r="I77" s="171">
        <f t="shared" si="6"/>
        <v>98.644295</v>
      </c>
      <c r="J77" s="171">
        <f t="shared" si="2"/>
        <v>4500</v>
      </c>
      <c r="K77" s="172">
        <v>0.175</v>
      </c>
      <c r="L77" s="171">
        <f t="shared" si="3"/>
        <v>-50.82862663</v>
      </c>
      <c r="M77" s="173">
        <f t="shared" si="4"/>
        <v>739.6206684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4500</v>
      </c>
      <c r="I78" s="171">
        <f t="shared" si="6"/>
        <v>85.5</v>
      </c>
      <c r="J78" s="171">
        <f t="shared" si="2"/>
        <v>4585.5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4585.5</v>
      </c>
      <c r="I79" s="171">
        <f t="shared" si="6"/>
        <v>87.1245</v>
      </c>
      <c r="J79" s="171">
        <f t="shared" si="2"/>
        <v>4672.6245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261.4043655</v>
      </c>
      <c r="F80" s="171">
        <f>-$D$62*$O$49</f>
        <v>500</v>
      </c>
      <c r="G80" s="171">
        <f t="shared" si="1"/>
        <v>761.4043655</v>
      </c>
      <c r="H80" s="171">
        <f t="shared" si="5"/>
        <v>3911.220135</v>
      </c>
      <c r="I80" s="171">
        <f t="shared" si="6"/>
        <v>88.7798655</v>
      </c>
      <c r="J80" s="171">
        <f t="shared" si="2"/>
        <v>4000</v>
      </c>
      <c r="K80" s="172">
        <v>0.175</v>
      </c>
      <c r="L80" s="171">
        <f t="shared" si="3"/>
        <v>-45.74576396</v>
      </c>
      <c r="M80" s="173">
        <f t="shared" si="4"/>
        <v>715.6586015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4000</v>
      </c>
      <c r="I81" s="171">
        <f t="shared" si="6"/>
        <v>76</v>
      </c>
      <c r="J81" s="171">
        <f t="shared" si="2"/>
        <v>4076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4076</v>
      </c>
      <c r="I82" s="171">
        <f t="shared" si="6"/>
        <v>77.444</v>
      </c>
      <c r="J82" s="171">
        <f t="shared" si="2"/>
        <v>4153.444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232.359436</v>
      </c>
      <c r="F83" s="171">
        <f>-$D$62*$O$50</f>
        <v>500</v>
      </c>
      <c r="G83" s="171">
        <f t="shared" si="1"/>
        <v>732.359436</v>
      </c>
      <c r="H83" s="171">
        <f t="shared" si="5"/>
        <v>3421.084564</v>
      </c>
      <c r="I83" s="171">
        <f t="shared" si="6"/>
        <v>78.915436</v>
      </c>
      <c r="J83" s="171">
        <f t="shared" si="2"/>
        <v>3500</v>
      </c>
      <c r="K83" s="172">
        <v>0.175</v>
      </c>
      <c r="L83" s="171">
        <f t="shared" si="3"/>
        <v>-40.6629013</v>
      </c>
      <c r="M83" s="173">
        <f t="shared" si="4"/>
        <v>691.6965347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3500</v>
      </c>
      <c r="I84" s="171">
        <f t="shared" si="6"/>
        <v>66.5</v>
      </c>
      <c r="J84" s="171">
        <f t="shared" si="2"/>
        <v>3566.5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3566.5</v>
      </c>
      <c r="I85" s="171">
        <f t="shared" si="6"/>
        <v>67.7635</v>
      </c>
      <c r="J85" s="171">
        <f t="shared" si="2"/>
        <v>3634.2635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203.3145065</v>
      </c>
      <c r="F86" s="171">
        <f>-$D$62*$O$51</f>
        <v>500</v>
      </c>
      <c r="G86" s="171">
        <f t="shared" si="1"/>
        <v>703.3145065</v>
      </c>
      <c r="H86" s="171">
        <f t="shared" si="5"/>
        <v>2930.948994</v>
      </c>
      <c r="I86" s="171">
        <f t="shared" si="6"/>
        <v>69.0510065</v>
      </c>
      <c r="J86" s="171">
        <f t="shared" si="2"/>
        <v>3000</v>
      </c>
      <c r="K86" s="172">
        <v>0.175</v>
      </c>
      <c r="L86" s="171">
        <f t="shared" si="3"/>
        <v>-35.58003864</v>
      </c>
      <c r="M86" s="173">
        <f t="shared" si="4"/>
        <v>667.7344679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3000</v>
      </c>
      <c r="I87" s="171">
        <f t="shared" si="6"/>
        <v>57</v>
      </c>
      <c r="J87" s="171">
        <f t="shared" si="2"/>
        <v>3057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3057</v>
      </c>
      <c r="I88" s="171">
        <f t="shared" si="6"/>
        <v>58.083</v>
      </c>
      <c r="J88" s="171">
        <f t="shared" si="2"/>
        <v>3115.083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174.269577</v>
      </c>
      <c r="F89" s="171">
        <f>-$D$62*$O$52</f>
        <v>750</v>
      </c>
      <c r="G89" s="171">
        <f t="shared" si="1"/>
        <v>924.269577</v>
      </c>
      <c r="H89" s="171">
        <f t="shared" si="5"/>
        <v>2190.813423</v>
      </c>
      <c r="I89" s="171">
        <f t="shared" si="6"/>
        <v>59.186577</v>
      </c>
      <c r="J89" s="171">
        <f t="shared" si="2"/>
        <v>2250</v>
      </c>
      <c r="K89" s="172">
        <v>0.15</v>
      </c>
      <c r="L89" s="171">
        <f t="shared" si="3"/>
        <v>-26.14043655</v>
      </c>
      <c r="M89" s="173">
        <f t="shared" si="4"/>
        <v>898.1291405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2250</v>
      </c>
      <c r="I90" s="171">
        <f t="shared" si="6"/>
        <v>42.75</v>
      </c>
      <c r="J90" s="171">
        <f t="shared" si="2"/>
        <v>2292.75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2292.75</v>
      </c>
      <c r="I91" s="171">
        <f t="shared" si="6"/>
        <v>43.56225</v>
      </c>
      <c r="J91" s="171">
        <f t="shared" si="2"/>
        <v>2336.31225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130.7021828</v>
      </c>
      <c r="F92" s="171">
        <f>-$D$62*$O$53</f>
        <v>750</v>
      </c>
      <c r="G92" s="171">
        <f t="shared" si="1"/>
        <v>880.7021828</v>
      </c>
      <c r="H92" s="171">
        <f t="shared" si="5"/>
        <v>1455.610067</v>
      </c>
      <c r="I92" s="171">
        <f t="shared" si="6"/>
        <v>44.38993275</v>
      </c>
      <c r="J92" s="171">
        <f t="shared" si="2"/>
        <v>1500</v>
      </c>
      <c r="K92" s="172">
        <v>0.15</v>
      </c>
      <c r="L92" s="171">
        <f t="shared" si="3"/>
        <v>-19.60532741</v>
      </c>
      <c r="M92" s="173">
        <f t="shared" si="4"/>
        <v>861.0968553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1500</v>
      </c>
      <c r="I93" s="171">
        <f t="shared" si="6"/>
        <v>28.5</v>
      </c>
      <c r="J93" s="171">
        <f t="shared" si="2"/>
        <v>1528.5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1528.5</v>
      </c>
      <c r="I94" s="171">
        <f t="shared" si="6"/>
        <v>29.0415</v>
      </c>
      <c r="J94" s="171">
        <f t="shared" si="2"/>
        <v>1557.5415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87.1347885</v>
      </c>
      <c r="F95" s="171">
        <f>-$D$62*$O$54</f>
        <v>750</v>
      </c>
      <c r="G95" s="171">
        <f t="shared" si="1"/>
        <v>837.1347885</v>
      </c>
      <c r="H95" s="171">
        <f t="shared" si="5"/>
        <v>720.4067115</v>
      </c>
      <c r="I95" s="171">
        <f t="shared" si="6"/>
        <v>29.5932885</v>
      </c>
      <c r="J95" s="171">
        <f t="shared" si="2"/>
        <v>750</v>
      </c>
      <c r="K95" s="172">
        <v>0.15</v>
      </c>
      <c r="L95" s="171">
        <f t="shared" si="3"/>
        <v>-13.07021828</v>
      </c>
      <c r="M95" s="173">
        <f t="shared" si="4"/>
        <v>824.0645702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750</v>
      </c>
      <c r="I96" s="171">
        <f t="shared" si="6"/>
        <v>14.25</v>
      </c>
      <c r="J96" s="171">
        <f t="shared" si="2"/>
        <v>764.25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764.25</v>
      </c>
      <c r="I97" s="171">
        <f t="shared" si="6"/>
        <v>14.52075</v>
      </c>
      <c r="J97" s="171">
        <f t="shared" si="2"/>
        <v>778.77075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43.56739425</v>
      </c>
      <c r="F98" s="176">
        <f>-$D$62*$O$54</f>
        <v>750</v>
      </c>
      <c r="G98" s="176">
        <f t="shared" si="1"/>
        <v>793.5673943</v>
      </c>
      <c r="H98" s="176">
        <f t="shared" si="5"/>
        <v>-14.79664425</v>
      </c>
      <c r="I98" s="176">
        <f t="shared" si="6"/>
        <v>14.79664425</v>
      </c>
      <c r="J98" s="176">
        <f t="shared" si="2"/>
        <v>0</v>
      </c>
      <c r="K98" s="177">
        <v>0.15</v>
      </c>
      <c r="L98" s="176">
        <f t="shared" si="3"/>
        <v>-6.535109138</v>
      </c>
      <c r="M98" s="178">
        <f t="shared" si="4"/>
        <v>787.0322851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10000.0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15169.99745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-970.1006453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48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-10000</v>
      </c>
      <c r="E62" s="165"/>
      <c r="F62" s="165"/>
      <c r="G62" s="166">
        <f>D62</f>
        <v>-10000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-10000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10000</v>
      </c>
      <c r="I63" s="171">
        <f>H63*$D$51</f>
        <v>190</v>
      </c>
      <c r="J63" s="171">
        <f t="shared" ref="J63:J98" si="2">I63+H63</f>
        <v>10190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10190</v>
      </c>
      <c r="I64" s="171">
        <f t="shared" ref="I64:I98" si="6">J63*$D$51</f>
        <v>193.61</v>
      </c>
      <c r="J64" s="171">
        <f t="shared" si="2"/>
        <v>10383.61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580.89859</v>
      </c>
      <c r="F65" s="171"/>
      <c r="G65" s="171">
        <f t="shared" si="1"/>
        <v>580.89859</v>
      </c>
      <c r="H65" s="171">
        <f t="shared" si="5"/>
        <v>9802.71141</v>
      </c>
      <c r="I65" s="171">
        <f t="shared" si="6"/>
        <v>197.28859</v>
      </c>
      <c r="J65" s="171">
        <f t="shared" si="2"/>
        <v>10000</v>
      </c>
      <c r="K65" s="172">
        <v>0.225</v>
      </c>
      <c r="L65" s="171">
        <f t="shared" si="3"/>
        <v>-130.7021828</v>
      </c>
      <c r="M65" s="173">
        <f t="shared" si="4"/>
        <v>450.1964073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10000</v>
      </c>
      <c r="I66" s="171">
        <f t="shared" si="6"/>
        <v>190</v>
      </c>
      <c r="J66" s="171">
        <f t="shared" si="2"/>
        <v>10190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10190</v>
      </c>
      <c r="I67" s="171">
        <f t="shared" si="6"/>
        <v>193.61</v>
      </c>
      <c r="J67" s="171">
        <f t="shared" si="2"/>
        <v>10383.61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580.89859</v>
      </c>
      <c r="F68" s="171"/>
      <c r="G68" s="171">
        <f t="shared" si="1"/>
        <v>580.89859</v>
      </c>
      <c r="H68" s="171">
        <f t="shared" si="5"/>
        <v>9802.71141</v>
      </c>
      <c r="I68" s="171">
        <f t="shared" si="6"/>
        <v>197.28859</v>
      </c>
      <c r="J68" s="171">
        <f t="shared" si="2"/>
        <v>10000</v>
      </c>
      <c r="K68" s="172">
        <v>0.225</v>
      </c>
      <c r="L68" s="171">
        <f t="shared" si="3"/>
        <v>-130.7021828</v>
      </c>
      <c r="M68" s="173">
        <f t="shared" si="4"/>
        <v>450.1964073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10000</v>
      </c>
      <c r="I69" s="171">
        <f t="shared" si="6"/>
        <v>190</v>
      </c>
      <c r="J69" s="171">
        <f t="shared" si="2"/>
        <v>10190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10190</v>
      </c>
      <c r="I70" s="171">
        <f t="shared" si="6"/>
        <v>193.61</v>
      </c>
      <c r="J70" s="171">
        <f t="shared" si="2"/>
        <v>10383.61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580.89859</v>
      </c>
      <c r="F71" s="171"/>
      <c r="G71" s="171">
        <f t="shared" si="1"/>
        <v>580.89859</v>
      </c>
      <c r="H71" s="171">
        <f t="shared" si="5"/>
        <v>9802.71141</v>
      </c>
      <c r="I71" s="171">
        <f t="shared" si="6"/>
        <v>197.28859</v>
      </c>
      <c r="J71" s="171">
        <f t="shared" si="2"/>
        <v>10000</v>
      </c>
      <c r="K71" s="172">
        <v>0.2</v>
      </c>
      <c r="L71" s="171">
        <f t="shared" si="3"/>
        <v>-116.179718</v>
      </c>
      <c r="M71" s="173">
        <f t="shared" si="4"/>
        <v>464.718872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10000</v>
      </c>
      <c r="I72" s="171">
        <f t="shared" si="6"/>
        <v>190</v>
      </c>
      <c r="J72" s="171">
        <f t="shared" si="2"/>
        <v>10190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10190</v>
      </c>
      <c r="I73" s="171">
        <f t="shared" si="6"/>
        <v>193.61</v>
      </c>
      <c r="J73" s="171">
        <f t="shared" si="2"/>
        <v>10383.61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580.89859</v>
      </c>
      <c r="F74" s="171"/>
      <c r="G74" s="171">
        <f t="shared" si="1"/>
        <v>580.89859</v>
      </c>
      <c r="H74" s="171">
        <f t="shared" si="5"/>
        <v>9802.71141</v>
      </c>
      <c r="I74" s="171">
        <f t="shared" si="6"/>
        <v>197.28859</v>
      </c>
      <c r="J74" s="171">
        <f t="shared" si="2"/>
        <v>10000</v>
      </c>
      <c r="K74" s="172">
        <v>0.2</v>
      </c>
      <c r="L74" s="171">
        <f t="shared" si="3"/>
        <v>-116.179718</v>
      </c>
      <c r="M74" s="173">
        <f t="shared" si="4"/>
        <v>464.718872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10000</v>
      </c>
      <c r="I75" s="171">
        <f t="shared" si="6"/>
        <v>190</v>
      </c>
      <c r="J75" s="171">
        <f t="shared" si="2"/>
        <v>10190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10190</v>
      </c>
      <c r="I76" s="171">
        <f t="shared" si="6"/>
        <v>193.61</v>
      </c>
      <c r="J76" s="171">
        <f t="shared" si="2"/>
        <v>10383.61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580.89859</v>
      </c>
      <c r="F77" s="171">
        <f>-$D$62*$O$48</f>
        <v>1000</v>
      </c>
      <c r="G77" s="171">
        <f t="shared" si="1"/>
        <v>1580.89859</v>
      </c>
      <c r="H77" s="171">
        <f t="shared" si="5"/>
        <v>8802.71141</v>
      </c>
      <c r="I77" s="171">
        <f t="shared" si="6"/>
        <v>197.28859</v>
      </c>
      <c r="J77" s="171">
        <f t="shared" si="2"/>
        <v>9000</v>
      </c>
      <c r="K77" s="172">
        <v>0.175</v>
      </c>
      <c r="L77" s="171">
        <f t="shared" si="3"/>
        <v>-101.6572533</v>
      </c>
      <c r="M77" s="173">
        <f t="shared" si="4"/>
        <v>1479.241337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9000</v>
      </c>
      <c r="I78" s="171">
        <f t="shared" si="6"/>
        <v>171</v>
      </c>
      <c r="J78" s="171">
        <f t="shared" si="2"/>
        <v>9171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9171</v>
      </c>
      <c r="I79" s="171">
        <f t="shared" si="6"/>
        <v>174.249</v>
      </c>
      <c r="J79" s="171">
        <f t="shared" si="2"/>
        <v>9345.249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522.808731</v>
      </c>
      <c r="F80" s="171">
        <f>-$D$62*$O$49</f>
        <v>1000</v>
      </c>
      <c r="G80" s="171">
        <f t="shared" si="1"/>
        <v>1522.808731</v>
      </c>
      <c r="H80" s="171">
        <f t="shared" si="5"/>
        <v>7822.440269</v>
      </c>
      <c r="I80" s="171">
        <f t="shared" si="6"/>
        <v>177.559731</v>
      </c>
      <c r="J80" s="171">
        <f t="shared" si="2"/>
        <v>8000</v>
      </c>
      <c r="K80" s="172">
        <v>0.175</v>
      </c>
      <c r="L80" s="171">
        <f t="shared" si="3"/>
        <v>-91.49152793</v>
      </c>
      <c r="M80" s="173">
        <f t="shared" si="4"/>
        <v>1431.317203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8000</v>
      </c>
      <c r="I81" s="171">
        <f t="shared" si="6"/>
        <v>152</v>
      </c>
      <c r="J81" s="171">
        <f t="shared" si="2"/>
        <v>8152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8152</v>
      </c>
      <c r="I82" s="171">
        <f t="shared" si="6"/>
        <v>154.888</v>
      </c>
      <c r="J82" s="171">
        <f t="shared" si="2"/>
        <v>8306.888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464.718872</v>
      </c>
      <c r="F83" s="171">
        <f>-$D$62*$O$50</f>
        <v>1000</v>
      </c>
      <c r="G83" s="171">
        <f t="shared" si="1"/>
        <v>1464.718872</v>
      </c>
      <c r="H83" s="171">
        <f t="shared" si="5"/>
        <v>6842.169128</v>
      </c>
      <c r="I83" s="171">
        <f t="shared" si="6"/>
        <v>157.830872</v>
      </c>
      <c r="J83" s="171">
        <f t="shared" si="2"/>
        <v>7000</v>
      </c>
      <c r="K83" s="172">
        <v>0.175</v>
      </c>
      <c r="L83" s="171">
        <f t="shared" si="3"/>
        <v>-81.3258026</v>
      </c>
      <c r="M83" s="173">
        <f t="shared" si="4"/>
        <v>1383.393069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7000</v>
      </c>
      <c r="I84" s="171">
        <f t="shared" si="6"/>
        <v>133</v>
      </c>
      <c r="J84" s="171">
        <f t="shared" si="2"/>
        <v>7133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7133</v>
      </c>
      <c r="I85" s="171">
        <f t="shared" si="6"/>
        <v>135.527</v>
      </c>
      <c r="J85" s="171">
        <f t="shared" si="2"/>
        <v>7268.527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406.629013</v>
      </c>
      <c r="F86" s="171">
        <f>-$D$62*$O$51</f>
        <v>1000</v>
      </c>
      <c r="G86" s="171">
        <f t="shared" si="1"/>
        <v>1406.629013</v>
      </c>
      <c r="H86" s="171">
        <f t="shared" si="5"/>
        <v>5861.897987</v>
      </c>
      <c r="I86" s="171">
        <f t="shared" si="6"/>
        <v>138.102013</v>
      </c>
      <c r="J86" s="171">
        <f t="shared" si="2"/>
        <v>6000</v>
      </c>
      <c r="K86" s="172">
        <v>0.175</v>
      </c>
      <c r="L86" s="171">
        <f t="shared" si="3"/>
        <v>-71.16007728</v>
      </c>
      <c r="M86" s="173">
        <f t="shared" si="4"/>
        <v>1335.468936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6000</v>
      </c>
      <c r="I87" s="171">
        <f t="shared" si="6"/>
        <v>114</v>
      </c>
      <c r="J87" s="171">
        <f t="shared" si="2"/>
        <v>6114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6114</v>
      </c>
      <c r="I88" s="171">
        <f t="shared" si="6"/>
        <v>116.166</v>
      </c>
      <c r="J88" s="171">
        <f t="shared" si="2"/>
        <v>6230.166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348.539154</v>
      </c>
      <c r="F89" s="171">
        <f>-$D$62*$O$52</f>
        <v>1500</v>
      </c>
      <c r="G89" s="171">
        <f t="shared" si="1"/>
        <v>1848.539154</v>
      </c>
      <c r="H89" s="171">
        <f t="shared" si="5"/>
        <v>4381.626846</v>
      </c>
      <c r="I89" s="171">
        <f t="shared" si="6"/>
        <v>118.373154</v>
      </c>
      <c r="J89" s="171">
        <f t="shared" si="2"/>
        <v>4500</v>
      </c>
      <c r="K89" s="172">
        <v>0.15</v>
      </c>
      <c r="L89" s="171">
        <f t="shared" si="3"/>
        <v>-52.2808731</v>
      </c>
      <c r="M89" s="173">
        <f t="shared" si="4"/>
        <v>1796.258281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4500</v>
      </c>
      <c r="I90" s="171">
        <f t="shared" si="6"/>
        <v>85.5</v>
      </c>
      <c r="J90" s="171">
        <f t="shared" si="2"/>
        <v>4585.5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4585.5</v>
      </c>
      <c r="I91" s="171">
        <f t="shared" si="6"/>
        <v>87.1245</v>
      </c>
      <c r="J91" s="171">
        <f t="shared" si="2"/>
        <v>4672.6245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261.4043655</v>
      </c>
      <c r="F92" s="171">
        <f>-$D$62*$O$53</f>
        <v>1500</v>
      </c>
      <c r="G92" s="171">
        <f t="shared" si="1"/>
        <v>1761.404366</v>
      </c>
      <c r="H92" s="171">
        <f t="shared" si="5"/>
        <v>2911.220135</v>
      </c>
      <c r="I92" s="171">
        <f t="shared" si="6"/>
        <v>88.7798655</v>
      </c>
      <c r="J92" s="171">
        <f t="shared" si="2"/>
        <v>3000</v>
      </c>
      <c r="K92" s="172">
        <v>0.15</v>
      </c>
      <c r="L92" s="171">
        <f t="shared" si="3"/>
        <v>-39.21065483</v>
      </c>
      <c r="M92" s="173">
        <f t="shared" si="4"/>
        <v>1722.193711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3000</v>
      </c>
      <c r="I93" s="171">
        <f t="shared" si="6"/>
        <v>57</v>
      </c>
      <c r="J93" s="171">
        <f t="shared" si="2"/>
        <v>3057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3057</v>
      </c>
      <c r="I94" s="171">
        <f t="shared" si="6"/>
        <v>58.083</v>
      </c>
      <c r="J94" s="171">
        <f t="shared" si="2"/>
        <v>3115.083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174.269577</v>
      </c>
      <c r="F95" s="171">
        <f>-$D$62*$O$54</f>
        <v>1500</v>
      </c>
      <c r="G95" s="171">
        <f t="shared" si="1"/>
        <v>1674.269577</v>
      </c>
      <c r="H95" s="171">
        <f t="shared" si="5"/>
        <v>1440.813423</v>
      </c>
      <c r="I95" s="171">
        <f t="shared" si="6"/>
        <v>59.186577</v>
      </c>
      <c r="J95" s="171">
        <f t="shared" si="2"/>
        <v>1500</v>
      </c>
      <c r="K95" s="172">
        <v>0.15</v>
      </c>
      <c r="L95" s="171">
        <f t="shared" si="3"/>
        <v>-26.14043655</v>
      </c>
      <c r="M95" s="173">
        <f t="shared" si="4"/>
        <v>1648.12914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1500</v>
      </c>
      <c r="I96" s="171">
        <f t="shared" si="6"/>
        <v>28.5</v>
      </c>
      <c r="J96" s="171">
        <f t="shared" si="2"/>
        <v>1528.5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1528.5</v>
      </c>
      <c r="I97" s="171">
        <f t="shared" si="6"/>
        <v>29.0415</v>
      </c>
      <c r="J97" s="171">
        <f t="shared" si="2"/>
        <v>1557.5415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87.1347885</v>
      </c>
      <c r="F98" s="176">
        <f>-$D$62*$O$54</f>
        <v>1500</v>
      </c>
      <c r="G98" s="176">
        <f t="shared" si="1"/>
        <v>1587.134789</v>
      </c>
      <c r="H98" s="176">
        <f t="shared" si="5"/>
        <v>-29.5932885</v>
      </c>
      <c r="I98" s="176">
        <f t="shared" si="6"/>
        <v>29.5932885</v>
      </c>
      <c r="J98" s="176">
        <f t="shared" si="2"/>
        <v>0</v>
      </c>
      <c r="K98" s="177">
        <v>0.15</v>
      </c>
      <c r="L98" s="176">
        <f t="shared" si="3"/>
        <v>-13.07021828</v>
      </c>
      <c r="M98" s="178">
        <f t="shared" si="4"/>
        <v>1574.06457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50000.0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75849.98726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-4850.503227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48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-50000</v>
      </c>
      <c r="E62" s="165"/>
      <c r="F62" s="165"/>
      <c r="G62" s="166">
        <f>D62</f>
        <v>-50000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-50000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50000</v>
      </c>
      <c r="I63" s="171">
        <f>H63*$D$51</f>
        <v>950</v>
      </c>
      <c r="J63" s="171">
        <f t="shared" ref="J63:J98" si="2">I63+H63</f>
        <v>50950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50950</v>
      </c>
      <c r="I64" s="171">
        <f t="shared" ref="I64:I98" si="6">J63*$D$51</f>
        <v>968.05</v>
      </c>
      <c r="J64" s="171">
        <f t="shared" si="2"/>
        <v>51918.05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2904.49295</v>
      </c>
      <c r="F65" s="171"/>
      <c r="G65" s="171">
        <f t="shared" si="1"/>
        <v>2904.49295</v>
      </c>
      <c r="H65" s="171">
        <f t="shared" si="5"/>
        <v>49013.55705</v>
      </c>
      <c r="I65" s="171">
        <f t="shared" si="6"/>
        <v>986.44295</v>
      </c>
      <c r="J65" s="171">
        <f t="shared" si="2"/>
        <v>50000</v>
      </c>
      <c r="K65" s="172">
        <v>0.225</v>
      </c>
      <c r="L65" s="171">
        <f t="shared" si="3"/>
        <v>-653.5109138</v>
      </c>
      <c r="M65" s="173">
        <f t="shared" si="4"/>
        <v>2250.982036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50000</v>
      </c>
      <c r="I66" s="171">
        <f t="shared" si="6"/>
        <v>950</v>
      </c>
      <c r="J66" s="171">
        <f t="shared" si="2"/>
        <v>50950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50950</v>
      </c>
      <c r="I67" s="171">
        <f t="shared" si="6"/>
        <v>968.05</v>
      </c>
      <c r="J67" s="171">
        <f t="shared" si="2"/>
        <v>51918.05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2904.49295</v>
      </c>
      <c r="F68" s="171"/>
      <c r="G68" s="171">
        <f t="shared" si="1"/>
        <v>2904.49295</v>
      </c>
      <c r="H68" s="171">
        <f t="shared" si="5"/>
        <v>49013.55705</v>
      </c>
      <c r="I68" s="171">
        <f t="shared" si="6"/>
        <v>986.44295</v>
      </c>
      <c r="J68" s="171">
        <f t="shared" si="2"/>
        <v>50000</v>
      </c>
      <c r="K68" s="172">
        <v>0.225</v>
      </c>
      <c r="L68" s="171">
        <f t="shared" si="3"/>
        <v>-653.5109138</v>
      </c>
      <c r="M68" s="173">
        <f t="shared" si="4"/>
        <v>2250.982036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50000</v>
      </c>
      <c r="I69" s="171">
        <f t="shared" si="6"/>
        <v>950</v>
      </c>
      <c r="J69" s="171">
        <f t="shared" si="2"/>
        <v>50950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50950</v>
      </c>
      <c r="I70" s="171">
        <f t="shared" si="6"/>
        <v>968.05</v>
      </c>
      <c r="J70" s="171">
        <f t="shared" si="2"/>
        <v>51918.05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2904.49295</v>
      </c>
      <c r="F71" s="171"/>
      <c r="G71" s="171">
        <f t="shared" si="1"/>
        <v>2904.49295</v>
      </c>
      <c r="H71" s="171">
        <f t="shared" si="5"/>
        <v>49013.55705</v>
      </c>
      <c r="I71" s="171">
        <f t="shared" si="6"/>
        <v>986.44295</v>
      </c>
      <c r="J71" s="171">
        <f t="shared" si="2"/>
        <v>50000</v>
      </c>
      <c r="K71" s="172">
        <v>0.2</v>
      </c>
      <c r="L71" s="171">
        <f t="shared" si="3"/>
        <v>-580.89859</v>
      </c>
      <c r="M71" s="173">
        <f t="shared" si="4"/>
        <v>2323.59436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50000</v>
      </c>
      <c r="I72" s="171">
        <f t="shared" si="6"/>
        <v>950</v>
      </c>
      <c r="J72" s="171">
        <f t="shared" si="2"/>
        <v>50950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50950</v>
      </c>
      <c r="I73" s="171">
        <f t="shared" si="6"/>
        <v>968.05</v>
      </c>
      <c r="J73" s="171">
        <f t="shared" si="2"/>
        <v>51918.05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2904.49295</v>
      </c>
      <c r="F74" s="171"/>
      <c r="G74" s="171">
        <f t="shared" si="1"/>
        <v>2904.49295</v>
      </c>
      <c r="H74" s="171">
        <f t="shared" si="5"/>
        <v>49013.55705</v>
      </c>
      <c r="I74" s="171">
        <f t="shared" si="6"/>
        <v>986.44295</v>
      </c>
      <c r="J74" s="171">
        <f t="shared" si="2"/>
        <v>50000</v>
      </c>
      <c r="K74" s="172">
        <v>0.2</v>
      </c>
      <c r="L74" s="171">
        <f t="shared" si="3"/>
        <v>-580.89859</v>
      </c>
      <c r="M74" s="173">
        <f t="shared" si="4"/>
        <v>2323.59436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50000</v>
      </c>
      <c r="I75" s="171">
        <f t="shared" si="6"/>
        <v>950</v>
      </c>
      <c r="J75" s="171">
        <f t="shared" si="2"/>
        <v>50950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50950</v>
      </c>
      <c r="I76" s="171">
        <f t="shared" si="6"/>
        <v>968.05</v>
      </c>
      <c r="J76" s="171">
        <f t="shared" si="2"/>
        <v>51918.05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2904.49295</v>
      </c>
      <c r="F77" s="171">
        <f>-$D$62*$O$48</f>
        <v>5000</v>
      </c>
      <c r="G77" s="171">
        <f t="shared" si="1"/>
        <v>7904.49295</v>
      </c>
      <c r="H77" s="171">
        <f t="shared" si="5"/>
        <v>44013.55705</v>
      </c>
      <c r="I77" s="171">
        <f t="shared" si="6"/>
        <v>986.44295</v>
      </c>
      <c r="J77" s="171">
        <f t="shared" si="2"/>
        <v>45000</v>
      </c>
      <c r="K77" s="172">
        <v>0.175</v>
      </c>
      <c r="L77" s="171">
        <f t="shared" si="3"/>
        <v>-508.2862663</v>
      </c>
      <c r="M77" s="173">
        <f t="shared" si="4"/>
        <v>7396.206684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45000</v>
      </c>
      <c r="I78" s="171">
        <f t="shared" si="6"/>
        <v>855</v>
      </c>
      <c r="J78" s="171">
        <f t="shared" si="2"/>
        <v>45855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45855</v>
      </c>
      <c r="I79" s="171">
        <f t="shared" si="6"/>
        <v>871.245</v>
      </c>
      <c r="J79" s="171">
        <f t="shared" si="2"/>
        <v>46726.245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2614.043655</v>
      </c>
      <c r="F80" s="171">
        <f>-$D$62*$O$49</f>
        <v>5000</v>
      </c>
      <c r="G80" s="171">
        <f t="shared" si="1"/>
        <v>7614.043655</v>
      </c>
      <c r="H80" s="171">
        <f t="shared" si="5"/>
        <v>39112.20135</v>
      </c>
      <c r="I80" s="171">
        <f t="shared" si="6"/>
        <v>887.798655</v>
      </c>
      <c r="J80" s="171">
        <f t="shared" si="2"/>
        <v>40000</v>
      </c>
      <c r="K80" s="172">
        <v>0.175</v>
      </c>
      <c r="L80" s="171">
        <f t="shared" si="3"/>
        <v>-457.4576396</v>
      </c>
      <c r="M80" s="173">
        <f t="shared" si="4"/>
        <v>7156.586015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40000</v>
      </c>
      <c r="I81" s="171">
        <f t="shared" si="6"/>
        <v>760</v>
      </c>
      <c r="J81" s="171">
        <f t="shared" si="2"/>
        <v>40760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40760</v>
      </c>
      <c r="I82" s="171">
        <f t="shared" si="6"/>
        <v>774.44</v>
      </c>
      <c r="J82" s="171">
        <f t="shared" si="2"/>
        <v>41534.44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2323.59436</v>
      </c>
      <c r="F83" s="171">
        <f>-$D$62*$O$50</f>
        <v>5000</v>
      </c>
      <c r="G83" s="171">
        <f t="shared" si="1"/>
        <v>7323.59436</v>
      </c>
      <c r="H83" s="171">
        <f t="shared" si="5"/>
        <v>34210.84564</v>
      </c>
      <c r="I83" s="171">
        <f t="shared" si="6"/>
        <v>789.15436</v>
      </c>
      <c r="J83" s="171">
        <f t="shared" si="2"/>
        <v>35000</v>
      </c>
      <c r="K83" s="172">
        <v>0.175</v>
      </c>
      <c r="L83" s="171">
        <f t="shared" si="3"/>
        <v>-406.629013</v>
      </c>
      <c r="M83" s="173">
        <f t="shared" si="4"/>
        <v>6916.965347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35000</v>
      </c>
      <c r="I84" s="171">
        <f t="shared" si="6"/>
        <v>665</v>
      </c>
      <c r="J84" s="171">
        <f t="shared" si="2"/>
        <v>35665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35665</v>
      </c>
      <c r="I85" s="171">
        <f t="shared" si="6"/>
        <v>677.635</v>
      </c>
      <c r="J85" s="171">
        <f t="shared" si="2"/>
        <v>36342.635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2033.145065</v>
      </c>
      <c r="F86" s="171">
        <f>-$D$62*$O$51</f>
        <v>5000</v>
      </c>
      <c r="G86" s="171">
        <f t="shared" si="1"/>
        <v>7033.145065</v>
      </c>
      <c r="H86" s="171">
        <f t="shared" si="5"/>
        <v>29309.48994</v>
      </c>
      <c r="I86" s="171">
        <f t="shared" si="6"/>
        <v>690.510065</v>
      </c>
      <c r="J86" s="171">
        <f t="shared" si="2"/>
        <v>30000</v>
      </c>
      <c r="K86" s="172">
        <v>0.175</v>
      </c>
      <c r="L86" s="171">
        <f t="shared" si="3"/>
        <v>-355.8003864</v>
      </c>
      <c r="M86" s="173">
        <f t="shared" si="4"/>
        <v>6677.344679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30000</v>
      </c>
      <c r="I87" s="171">
        <f t="shared" si="6"/>
        <v>570</v>
      </c>
      <c r="J87" s="171">
        <f t="shared" si="2"/>
        <v>30570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30570</v>
      </c>
      <c r="I88" s="171">
        <f t="shared" si="6"/>
        <v>580.83</v>
      </c>
      <c r="J88" s="171">
        <f t="shared" si="2"/>
        <v>31150.83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1742.69577</v>
      </c>
      <c r="F89" s="171">
        <f>-$D$62*$O$52</f>
        <v>7500</v>
      </c>
      <c r="G89" s="171">
        <f t="shared" si="1"/>
        <v>9242.69577</v>
      </c>
      <c r="H89" s="171">
        <f t="shared" si="5"/>
        <v>21908.13423</v>
      </c>
      <c r="I89" s="171">
        <f t="shared" si="6"/>
        <v>591.86577</v>
      </c>
      <c r="J89" s="171">
        <f t="shared" si="2"/>
        <v>22500</v>
      </c>
      <c r="K89" s="172">
        <v>0.15</v>
      </c>
      <c r="L89" s="171">
        <f t="shared" si="3"/>
        <v>-261.4043655</v>
      </c>
      <c r="M89" s="173">
        <f t="shared" si="4"/>
        <v>8981.291405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22500</v>
      </c>
      <c r="I90" s="171">
        <f t="shared" si="6"/>
        <v>427.5</v>
      </c>
      <c r="J90" s="171">
        <f t="shared" si="2"/>
        <v>22927.5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22927.5</v>
      </c>
      <c r="I91" s="171">
        <f t="shared" si="6"/>
        <v>435.6225</v>
      </c>
      <c r="J91" s="171">
        <f t="shared" si="2"/>
        <v>23363.1225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1307.021828</v>
      </c>
      <c r="F92" s="171">
        <f>-$D$62*$O$53</f>
        <v>7500</v>
      </c>
      <c r="G92" s="171">
        <f t="shared" si="1"/>
        <v>8807.021828</v>
      </c>
      <c r="H92" s="171">
        <f t="shared" si="5"/>
        <v>14556.10067</v>
      </c>
      <c r="I92" s="171">
        <f t="shared" si="6"/>
        <v>443.8993275</v>
      </c>
      <c r="J92" s="171">
        <f t="shared" si="2"/>
        <v>15000</v>
      </c>
      <c r="K92" s="172">
        <v>0.15</v>
      </c>
      <c r="L92" s="171">
        <f t="shared" si="3"/>
        <v>-196.0532741</v>
      </c>
      <c r="M92" s="173">
        <f t="shared" si="4"/>
        <v>8610.968553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15000</v>
      </c>
      <c r="I93" s="171">
        <f t="shared" si="6"/>
        <v>285</v>
      </c>
      <c r="J93" s="171">
        <f t="shared" si="2"/>
        <v>15285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15285</v>
      </c>
      <c r="I94" s="171">
        <f t="shared" si="6"/>
        <v>290.415</v>
      </c>
      <c r="J94" s="171">
        <f t="shared" si="2"/>
        <v>15575.415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871.347885</v>
      </c>
      <c r="F95" s="171">
        <f>-$D$62*$O$54</f>
        <v>7500</v>
      </c>
      <c r="G95" s="171">
        <f t="shared" si="1"/>
        <v>8371.347885</v>
      </c>
      <c r="H95" s="171">
        <f t="shared" si="5"/>
        <v>7204.067115</v>
      </c>
      <c r="I95" s="171">
        <f t="shared" si="6"/>
        <v>295.932885</v>
      </c>
      <c r="J95" s="171">
        <f t="shared" si="2"/>
        <v>7500</v>
      </c>
      <c r="K95" s="172">
        <v>0.15</v>
      </c>
      <c r="L95" s="171">
        <f t="shared" si="3"/>
        <v>-130.7021828</v>
      </c>
      <c r="M95" s="173">
        <f t="shared" si="4"/>
        <v>8240.645702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7500</v>
      </c>
      <c r="I96" s="171">
        <f t="shared" si="6"/>
        <v>142.5</v>
      </c>
      <c r="J96" s="171">
        <f t="shared" si="2"/>
        <v>7642.5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7642.5</v>
      </c>
      <c r="I97" s="171">
        <f t="shared" si="6"/>
        <v>145.2075</v>
      </c>
      <c r="J97" s="171">
        <f t="shared" si="2"/>
        <v>7787.7075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435.6739425</v>
      </c>
      <c r="F98" s="176">
        <f>-$D$62*$O$54</f>
        <v>7500</v>
      </c>
      <c r="G98" s="176">
        <f t="shared" si="1"/>
        <v>7935.673943</v>
      </c>
      <c r="H98" s="176">
        <f t="shared" si="5"/>
        <v>-147.9664425</v>
      </c>
      <c r="I98" s="176">
        <f t="shared" si="6"/>
        <v>147.9664425</v>
      </c>
      <c r="J98" s="176">
        <f t="shared" si="2"/>
        <v>0</v>
      </c>
      <c r="K98" s="177">
        <v>0.15</v>
      </c>
      <c r="L98" s="176">
        <f t="shared" si="3"/>
        <v>-65.35109138</v>
      </c>
      <c r="M98" s="178">
        <f t="shared" si="4"/>
        <v>7870.322851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24.71"/>
    <col customWidth="1" min="3" max="3" width="22.43"/>
    <col customWidth="1" min="4" max="4" width="27.0"/>
    <col customWidth="1" hidden="1" min="5" max="6" width="16.86"/>
    <col customWidth="1" min="7" max="7" width="21.71"/>
    <col customWidth="1" hidden="1" min="8" max="12" width="16.71"/>
    <col customWidth="1" min="13" max="13" width="20.29"/>
    <col customWidth="1" min="14" max="14" width="24.57"/>
    <col customWidth="1" min="15" max="15" width="14.29"/>
    <col customWidth="1" min="17" max="17" width="55.71"/>
    <col customWidth="1" min="18" max="18" width="30.43"/>
    <col customWidth="1" min="19" max="19" width="1.57"/>
    <col customWidth="1" min="20" max="22" width="12.43"/>
    <col customWidth="1" min="23" max="23" width="2.14"/>
    <col customWidth="1" min="24" max="24" width="13.29"/>
    <col customWidth="1" min="25" max="25" width="17.0"/>
    <col customWidth="1" min="26" max="26" width="2.14"/>
    <col customWidth="1" min="27" max="27" width="15.14"/>
    <col customWidth="1" min="28" max="28" width="2.14"/>
    <col customWidth="1" min="31" max="31" width="12.29"/>
    <col customWidth="1" min="33" max="33" width="15.43"/>
    <col customWidth="1" min="34" max="39" width="12.71"/>
  </cols>
  <sheetData>
    <row r="1">
      <c r="A1" s="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51"/>
      <c r="R1" s="151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/>
      <c r="Q2" s="151"/>
      <c r="R2" s="151"/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5"/>
      <c r="Q3" s="151"/>
      <c r="R3" s="151"/>
      <c r="S3" s="3" t="s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5"/>
      <c r="Q4" s="151"/>
      <c r="R4" s="151"/>
      <c r="S4" s="3" t="s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 t="s"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 t="s">
        <v>1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>
      <c r="A7" s="4"/>
      <c r="B7" s="6" t="s">
        <v>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"/>
      <c r="Q7" s="4"/>
      <c r="R7" s="4"/>
      <c r="S7" s="3" t="s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4"/>
      <c r="B8" s="9" t="s">
        <v>3</v>
      </c>
      <c r="C8" s="10"/>
      <c r="D8" s="11" t="s">
        <v>4</v>
      </c>
      <c r="E8" s="12"/>
      <c r="F8" s="12"/>
      <c r="G8" s="13"/>
      <c r="H8" s="13"/>
      <c r="I8" s="13"/>
      <c r="J8" s="13"/>
      <c r="K8" s="13"/>
      <c r="L8" s="13"/>
      <c r="M8" s="13"/>
      <c r="N8" s="14"/>
      <c r="O8" s="13"/>
      <c r="P8" s="4"/>
      <c r="Q8" s="4"/>
      <c r="R8" s="4"/>
      <c r="S8" s="3" t="s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4"/>
      <c r="B9" s="15" t="s">
        <v>5</v>
      </c>
      <c r="C9" s="16"/>
      <c r="D9" s="17" t="s">
        <v>85</v>
      </c>
      <c r="E9" s="12"/>
      <c r="F9" s="12"/>
      <c r="G9" s="18"/>
      <c r="H9" s="19"/>
      <c r="I9" s="19"/>
      <c r="J9" s="19"/>
      <c r="K9" s="19"/>
      <c r="L9" s="18"/>
      <c r="M9" s="18"/>
      <c r="N9" s="18"/>
      <c r="O9" s="19"/>
      <c r="P9" s="4"/>
      <c r="Q9" s="4"/>
      <c r="R9" s="4"/>
      <c r="S9" s="3" t="s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4"/>
      <c r="B10" s="20" t="s">
        <v>7</v>
      </c>
      <c r="C10" s="21"/>
      <c r="D10" s="22" t="s">
        <v>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4"/>
      <c r="Q10" s="4"/>
      <c r="R10" s="4"/>
      <c r="S10" s="3" t="s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4"/>
      <c r="B11" s="15" t="s">
        <v>87</v>
      </c>
      <c r="C11" s="16"/>
      <c r="D11" s="25">
        <f>IRR(G62:G98)</f>
        <v>0.019</v>
      </c>
      <c r="E11" s="12"/>
      <c r="F11" s="12"/>
      <c r="G11" s="18"/>
      <c r="H11" s="19"/>
      <c r="I11" s="19"/>
      <c r="J11" s="19"/>
      <c r="K11" s="19"/>
      <c r="L11" s="18"/>
      <c r="M11" s="18"/>
      <c r="N11" s="18"/>
      <c r="O11" s="19"/>
      <c r="P11" s="4"/>
      <c r="Q11" s="152"/>
      <c r="R11" s="4"/>
      <c r="S11" s="3" t="s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4"/>
      <c r="B12" s="15" t="s">
        <v>88</v>
      </c>
      <c r="C12" s="16"/>
      <c r="D12" s="25">
        <f>M31</f>
        <v>0.5169997451</v>
      </c>
      <c r="E12" s="12"/>
      <c r="F12" s="12"/>
      <c r="G12" s="18"/>
      <c r="H12" s="19"/>
      <c r="I12" s="19"/>
      <c r="J12" s="19"/>
      <c r="K12" s="19"/>
      <c r="L12" s="18"/>
      <c r="M12" s="18"/>
      <c r="N12" s="18"/>
      <c r="O12" s="19"/>
      <c r="P12" s="4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4"/>
      <c r="B13" s="20" t="s">
        <v>10</v>
      </c>
      <c r="C13" s="21"/>
      <c r="D13" s="26" t="s">
        <v>11</v>
      </c>
      <c r="E13" s="12"/>
      <c r="F13" s="12"/>
      <c r="G13" s="27"/>
      <c r="H13" s="28"/>
      <c r="I13" s="28"/>
      <c r="J13" s="28"/>
      <c r="K13" s="28"/>
      <c r="L13" s="27"/>
      <c r="M13" s="27"/>
      <c r="N13" s="27"/>
      <c r="O13" s="28"/>
      <c r="P13" s="4"/>
      <c r="Q13" s="4"/>
      <c r="R13" s="4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4"/>
      <c r="B14" s="15" t="s">
        <v>12</v>
      </c>
      <c r="C14" s="16"/>
      <c r="D14" s="29">
        <f>C40</f>
        <v>1000000</v>
      </c>
      <c r="E14" s="12"/>
      <c r="F14" s="12"/>
      <c r="G14" s="18"/>
      <c r="H14" s="19"/>
      <c r="I14" s="19"/>
      <c r="J14" s="19"/>
      <c r="K14" s="19"/>
      <c r="L14" s="18"/>
      <c r="M14" s="18"/>
      <c r="N14" s="18"/>
      <c r="O14" s="19"/>
      <c r="P14" s="4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4"/>
      <c r="B15" s="20" t="s">
        <v>13</v>
      </c>
      <c r="C15" s="21"/>
      <c r="D15" s="30">
        <v>1000.0</v>
      </c>
      <c r="E15" s="12"/>
      <c r="F15" s="12"/>
      <c r="G15" s="27"/>
      <c r="H15" s="28"/>
      <c r="I15" s="28"/>
      <c r="J15" s="28"/>
      <c r="K15" s="28"/>
      <c r="L15" s="27"/>
      <c r="M15" s="27"/>
      <c r="N15" s="27"/>
      <c r="O15" s="28"/>
      <c r="P15" s="4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4"/>
      <c r="B16" s="15" t="s">
        <v>14</v>
      </c>
      <c r="C16" s="16"/>
      <c r="D16" s="153" t="s">
        <v>89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4"/>
      <c r="B17" s="20" t="s">
        <v>90</v>
      </c>
      <c r="C17" s="21"/>
      <c r="D17" s="154" t="s">
        <v>91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"/>
      <c r="Q17" s="4"/>
      <c r="R17" s="4"/>
      <c r="S17" s="3" t="s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4"/>
      <c r="B18" s="15" t="s">
        <v>18</v>
      </c>
      <c r="C18" s="16"/>
      <c r="D18" s="17" t="s">
        <v>19</v>
      </c>
      <c r="E18" s="12"/>
      <c r="F18" s="12"/>
      <c r="G18" s="18"/>
      <c r="H18" s="19"/>
      <c r="I18" s="19"/>
      <c r="J18" s="19"/>
      <c r="K18" s="19"/>
      <c r="L18" s="18"/>
      <c r="M18" s="18"/>
      <c r="N18" s="18"/>
      <c r="O18" s="19"/>
      <c r="P18" s="4"/>
      <c r="Q18" s="4"/>
      <c r="R18" s="4"/>
      <c r="S18" s="3" t="s">
        <v>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4"/>
      <c r="B19" s="20" t="s">
        <v>20</v>
      </c>
      <c r="C19" s="21"/>
      <c r="D19" s="31" t="s">
        <v>21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4"/>
      <c r="Q19" s="4"/>
      <c r="R19" s="4"/>
      <c r="S19" s="3" t="s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 t="s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 t="s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 t="s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4"/>
      <c r="B23" s="34" t="s">
        <v>22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4"/>
      <c r="O23" s="4"/>
      <c r="P23" s="4"/>
      <c r="Q23" s="4"/>
      <c r="R23" s="4"/>
      <c r="S23" s="3" t="s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"/>
      <c r="O24" s="4"/>
      <c r="P24" s="4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4"/>
      <c r="B25" s="40" t="s">
        <v>23</v>
      </c>
      <c r="C25" s="41" t="s">
        <v>92</v>
      </c>
      <c r="D25" s="42"/>
      <c r="E25" s="38"/>
      <c r="F25" s="38"/>
      <c r="G25" s="43" t="s">
        <v>25</v>
      </c>
      <c r="H25" s="38"/>
      <c r="I25" s="38"/>
      <c r="J25" s="38"/>
      <c r="K25" s="38"/>
      <c r="L25" s="38"/>
      <c r="M25" s="44" t="s">
        <v>26</v>
      </c>
      <c r="N25" s="4"/>
      <c r="O25" s="4"/>
      <c r="P25" s="4"/>
      <c r="Q25" s="4"/>
      <c r="R25" s="4"/>
      <c r="S25" s="3" t="s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4"/>
      <c r="B26" s="45"/>
      <c r="C26" s="46"/>
      <c r="D26" s="47"/>
      <c r="E26" s="38"/>
      <c r="F26" s="38"/>
      <c r="G26" s="48"/>
      <c r="H26" s="38"/>
      <c r="I26" s="38"/>
      <c r="J26" s="38"/>
      <c r="K26" s="38"/>
      <c r="L26" s="38"/>
      <c r="M26" s="49"/>
      <c r="N26" s="4"/>
      <c r="O26" s="4"/>
      <c r="P26" s="4"/>
      <c r="Q26" s="4"/>
      <c r="R26" s="4"/>
      <c r="S26" s="3" t="s"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4"/>
      <c r="B27" s="50"/>
      <c r="C27" s="51"/>
      <c r="D27" s="51"/>
      <c r="E27" s="38"/>
      <c r="F27" s="38"/>
      <c r="G27" s="38"/>
      <c r="H27" s="38"/>
      <c r="I27" s="38"/>
      <c r="J27" s="38"/>
      <c r="K27" s="38"/>
      <c r="L27" s="38"/>
      <c r="M27" s="52"/>
      <c r="N27" s="4"/>
      <c r="O27" s="4"/>
      <c r="P27" s="4"/>
      <c r="Q27" s="4"/>
      <c r="R27" s="4"/>
      <c r="S27" s="3" t="s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4"/>
      <c r="B28" s="53" t="s">
        <v>27</v>
      </c>
      <c r="C28" s="54">
        <v>100000.0</v>
      </c>
      <c r="D28" s="42"/>
      <c r="E28" s="38"/>
      <c r="F28" s="38"/>
      <c r="G28" s="55" t="s">
        <v>28</v>
      </c>
      <c r="H28" s="38"/>
      <c r="I28" s="38"/>
      <c r="J28" s="38"/>
      <c r="K28" s="38"/>
      <c r="L28" s="38"/>
      <c r="M28" s="56">
        <v>1000.0</v>
      </c>
      <c r="N28" s="4"/>
      <c r="O28" s="4"/>
      <c r="P28" s="4"/>
      <c r="Q28" s="4"/>
      <c r="R28" s="4"/>
      <c r="S28" s="3" t="s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4"/>
      <c r="B29" s="57"/>
      <c r="C29" s="46"/>
      <c r="D29" s="47"/>
      <c r="E29" s="38"/>
      <c r="F29" s="38"/>
      <c r="G29" s="48"/>
      <c r="H29" s="38"/>
      <c r="I29" s="38"/>
      <c r="J29" s="38"/>
      <c r="K29" s="38"/>
      <c r="L29" s="38"/>
      <c r="M29" s="49"/>
      <c r="N29" s="4"/>
      <c r="O29" s="4"/>
      <c r="P29" s="4"/>
      <c r="Q29" s="4"/>
      <c r="R29" s="4"/>
      <c r="S29" s="3" t="s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4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"/>
      <c r="O30" s="4"/>
      <c r="P30" s="4"/>
      <c r="Q30" s="4"/>
      <c r="R30" s="4"/>
      <c r="S30" s="3" t="s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4"/>
      <c r="B31" s="53" t="s">
        <v>29</v>
      </c>
      <c r="C31" s="58">
        <f>SUM(G63:G98)</f>
        <v>151699.9745</v>
      </c>
      <c r="D31" s="42"/>
      <c r="E31" s="38"/>
      <c r="F31" s="38"/>
      <c r="G31" s="55" t="s">
        <v>30</v>
      </c>
      <c r="H31" s="38"/>
      <c r="I31" s="38"/>
      <c r="J31" s="38"/>
      <c r="K31" s="38"/>
      <c r="L31" s="38"/>
      <c r="M31" s="59">
        <f>(C31-C28)/C28</f>
        <v>0.5169997451</v>
      </c>
      <c r="N31" s="4"/>
      <c r="O31" s="155"/>
      <c r="P31" s="4"/>
      <c r="Q31" s="4"/>
      <c r="R31" s="4"/>
      <c r="S31" s="3" t="s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4"/>
      <c r="B32" s="57"/>
      <c r="C32" s="46"/>
      <c r="D32" s="47"/>
      <c r="E32" s="38"/>
      <c r="F32" s="38"/>
      <c r="G32" s="48"/>
      <c r="H32" s="38"/>
      <c r="I32" s="38"/>
      <c r="J32" s="38"/>
      <c r="K32" s="38"/>
      <c r="L32" s="38"/>
      <c r="M32" s="49"/>
      <c r="N32" s="4"/>
      <c r="O32" s="4"/>
      <c r="P32" s="4"/>
      <c r="Q32" s="4"/>
      <c r="R32" s="4"/>
      <c r="S32" s="3" t="s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"/>
      <c r="O33" s="4"/>
      <c r="P33" s="4"/>
      <c r="Q33" s="4"/>
      <c r="R33" s="4"/>
      <c r="S33" s="3" t="s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4"/>
      <c r="B34" s="53" t="s">
        <v>31</v>
      </c>
      <c r="C34" s="60">
        <f>SUM(L62:L98)</f>
        <v>-9701.006453</v>
      </c>
      <c r="D34" s="42"/>
      <c r="E34" s="38"/>
      <c r="F34" s="38"/>
      <c r="G34" s="55" t="s">
        <v>32</v>
      </c>
      <c r="H34" s="38"/>
      <c r="I34" s="38"/>
      <c r="J34" s="38"/>
      <c r="K34" s="38"/>
      <c r="L34" s="38"/>
      <c r="M34" s="59">
        <f>(C31+C34-C28)/C28</f>
        <v>0.4199896806</v>
      </c>
      <c r="N34" s="4"/>
      <c r="O34" s="4"/>
      <c r="P34" s="4"/>
      <c r="Q34" s="4"/>
      <c r="R34" s="4"/>
      <c r="S34" s="3" t="s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4"/>
      <c r="B35" s="61"/>
      <c r="C35" s="62"/>
      <c r="D35" s="63"/>
      <c r="E35" s="64"/>
      <c r="F35" s="64"/>
      <c r="G35" s="48"/>
      <c r="H35" s="64"/>
      <c r="I35" s="64"/>
      <c r="J35" s="64"/>
      <c r="K35" s="64"/>
      <c r="L35" s="64"/>
      <c r="M35" s="65"/>
      <c r="N35" s="4"/>
      <c r="O35" s="4"/>
      <c r="P35" s="4"/>
      <c r="Q35" s="4"/>
      <c r="R35" s="4"/>
      <c r="S35" s="3" t="s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4"/>
      <c r="B36" s="4"/>
      <c r="C36" s="66"/>
      <c r="D36" s="4"/>
      <c r="E36" s="4"/>
      <c r="F36" s="4"/>
      <c r="G36" s="6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 t="s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4"/>
      <c r="B37" s="4"/>
      <c r="C37" s="4"/>
      <c r="D37" s="4"/>
      <c r="E37" s="4"/>
      <c r="F37" s="4"/>
      <c r="G37" s="67"/>
      <c r="H37" s="4"/>
      <c r="I37" s="4"/>
      <c r="J37" s="4"/>
      <c r="K37" s="4"/>
      <c r="L37" s="4"/>
      <c r="M37" s="66"/>
      <c r="N37" s="4"/>
      <c r="O37" s="4"/>
      <c r="P37" s="4"/>
      <c r="Q37" s="4"/>
      <c r="R37" s="4"/>
      <c r="S37" s="3" t="s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4"/>
      <c r="B38" s="68"/>
      <c r="C38" s="4"/>
      <c r="D38" s="4"/>
      <c r="E38" s="4"/>
      <c r="F38" s="4"/>
      <c r="G38" s="66"/>
      <c r="H38" s="4"/>
      <c r="I38" s="4"/>
      <c r="J38" s="4"/>
      <c r="K38" s="4"/>
      <c r="L38" s="4"/>
      <c r="M38" s="66"/>
      <c r="N38" s="4"/>
      <c r="O38" s="4"/>
      <c r="P38" s="4"/>
      <c r="Q38" s="4"/>
      <c r="R38" s="4"/>
      <c r="S38" s="3" t="s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4"/>
      <c r="B39" s="4"/>
      <c r="C39" s="4"/>
      <c r="D39" s="4"/>
      <c r="E39" s="4"/>
      <c r="F39" s="4"/>
      <c r="G39" s="66"/>
      <c r="H39" s="4"/>
      <c r="I39" s="4"/>
      <c r="J39" s="4"/>
      <c r="K39" s="4"/>
      <c r="L39" s="4"/>
      <c r="M39" s="66"/>
      <c r="N39" s="4"/>
      <c r="O39" s="4"/>
      <c r="P39" s="4"/>
      <c r="Q39" s="4"/>
      <c r="R39" s="4"/>
      <c r="S39" s="3" t="s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4"/>
      <c r="B40" s="69">
        <v>1.0</v>
      </c>
      <c r="C40" s="70">
        <v>1000000.0</v>
      </c>
      <c r="D40" s="4" t="s">
        <v>33</v>
      </c>
      <c r="E40" s="4"/>
      <c r="F40" s="4"/>
      <c r="G40" s="6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 t="s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4"/>
      <c r="B41" s="69">
        <v>0.66</v>
      </c>
      <c r="C41" s="70">
        <f>B41*C40</f>
        <v>660000</v>
      </c>
      <c r="D41" s="4" t="s">
        <v>34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 t="s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4"/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 t="s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4"/>
      <c r="B43" s="71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 t="s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4"/>
      <c r="B44" s="4"/>
      <c r="C44" s="4"/>
      <c r="D44" s="4"/>
      <c r="E44" s="72"/>
      <c r="F44" s="72"/>
      <c r="G44" s="72"/>
      <c r="H44" s="72"/>
      <c r="I44" s="4"/>
      <c r="J44" s="4"/>
      <c r="K44" s="4"/>
      <c r="L44" s="4"/>
      <c r="M44" s="4"/>
      <c r="N44" s="4"/>
      <c r="O44" s="4"/>
      <c r="P44" s="4"/>
      <c r="Q44" s="4"/>
      <c r="R44" s="4"/>
      <c r="S44" s="3" t="s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5">
      <c r="A45" s="4"/>
      <c r="B45" s="73" t="s">
        <v>36</v>
      </c>
      <c r="C45" s="74"/>
      <c r="D45" s="73" t="s">
        <v>37</v>
      </c>
      <c r="E45" s="75"/>
      <c r="F45" s="75"/>
      <c r="G45" s="75"/>
      <c r="H45" s="4"/>
      <c r="I45" s="4"/>
      <c r="J45" s="4"/>
      <c r="K45" s="4"/>
      <c r="L45" s="4"/>
      <c r="M45" s="76"/>
      <c r="N45" s="76"/>
      <c r="O45" s="4"/>
      <c r="P45" s="4"/>
      <c r="Q45" s="4"/>
      <c r="R45" s="4"/>
      <c r="S45" s="3" t="s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72"/>
      <c r="AE45" s="72"/>
      <c r="AF45" s="72"/>
      <c r="AG45" s="72"/>
      <c r="AH45" s="72"/>
      <c r="AI45" s="72"/>
      <c r="AJ45" s="72"/>
      <c r="AK45" s="72"/>
      <c r="AL45" s="72"/>
      <c r="AM45" s="72"/>
    </row>
    <row r="46">
      <c r="A46" s="4"/>
      <c r="B46" s="77" t="s">
        <v>38</v>
      </c>
      <c r="C46" s="78"/>
      <c r="D46" s="79">
        <f>C40</f>
        <v>1000000</v>
      </c>
      <c r="E46" s="80" t="s">
        <v>39</v>
      </c>
      <c r="F46" s="81"/>
      <c r="G46" s="81" t="s">
        <v>40</v>
      </c>
      <c r="H46" s="4"/>
      <c r="I46" s="4"/>
      <c r="J46" s="4"/>
      <c r="K46" s="4"/>
      <c r="L46" s="4"/>
      <c r="M46" s="81" t="s">
        <v>41</v>
      </c>
      <c r="N46" s="81"/>
      <c r="O46" s="82" t="s">
        <v>93</v>
      </c>
      <c r="P46" s="4"/>
      <c r="Q46" s="4"/>
      <c r="R46" s="4"/>
      <c r="S46" s="3" t="s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>
      <c r="A47" s="4"/>
      <c r="B47" s="83" t="s">
        <v>42</v>
      </c>
      <c r="C47" s="84"/>
      <c r="D47" s="85">
        <v>1000.0</v>
      </c>
      <c r="E47" s="86" t="s">
        <v>94</v>
      </c>
      <c r="F47" s="87"/>
      <c r="G47" s="88">
        <f>D51</f>
        <v>0.019</v>
      </c>
      <c r="H47" s="4"/>
      <c r="I47" s="4"/>
      <c r="J47" s="4"/>
      <c r="K47" s="4"/>
      <c r="L47" s="4"/>
      <c r="M47" s="87" t="s">
        <v>44</v>
      </c>
      <c r="N47" s="87"/>
      <c r="O47" s="89"/>
      <c r="P47" s="4"/>
      <c r="Q47" s="4"/>
      <c r="R47" s="4"/>
      <c r="S47" s="3" t="s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  <row r="48">
      <c r="A48" s="4"/>
      <c r="B48" s="83" t="s">
        <v>45</v>
      </c>
      <c r="C48" s="84"/>
      <c r="D48" s="90">
        <f>D46/D47</f>
        <v>1000</v>
      </c>
      <c r="E48" s="87"/>
      <c r="F48" s="87"/>
      <c r="G48" s="87"/>
      <c r="H48" s="4"/>
      <c r="I48" s="4"/>
      <c r="J48" s="4"/>
      <c r="K48" s="4"/>
      <c r="L48" s="4"/>
      <c r="M48" s="87" t="s">
        <v>95</v>
      </c>
      <c r="N48" s="87"/>
      <c r="O48" s="157">
        <v>0.1</v>
      </c>
      <c r="P48" s="158"/>
      <c r="Q48" s="4"/>
      <c r="R48" s="4"/>
      <c r="S48" s="3" t="s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>
      <c r="A49" s="4"/>
      <c r="B49" s="83" t="s">
        <v>47</v>
      </c>
      <c r="C49" s="84"/>
      <c r="D49" s="92">
        <v>36.0</v>
      </c>
      <c r="E49" s="87"/>
      <c r="F49" s="87"/>
      <c r="G49" s="87"/>
      <c r="H49" s="4"/>
      <c r="I49" s="4"/>
      <c r="J49" s="4"/>
      <c r="K49" s="4"/>
      <c r="L49" s="4"/>
      <c r="M49" s="87" t="s">
        <v>96</v>
      </c>
      <c r="N49" s="87"/>
      <c r="O49" s="157">
        <v>0.1</v>
      </c>
      <c r="P49" s="158"/>
      <c r="Q49" s="4"/>
      <c r="R49" s="4"/>
      <c r="S49" s="3" t="s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72"/>
      <c r="AE49" s="72"/>
      <c r="AF49" s="72"/>
      <c r="AG49" s="72"/>
      <c r="AH49" s="93"/>
      <c r="AI49" s="72"/>
      <c r="AJ49" s="72"/>
      <c r="AK49" s="72"/>
      <c r="AL49" s="72"/>
      <c r="AM49" s="72"/>
    </row>
    <row r="50">
      <c r="A50" s="4"/>
      <c r="B50" s="83" t="s">
        <v>49</v>
      </c>
      <c r="C50" s="84"/>
      <c r="D50" s="90" t="s">
        <v>97</v>
      </c>
      <c r="E50" s="87"/>
      <c r="F50" s="87"/>
      <c r="G50" s="87"/>
      <c r="H50" s="4"/>
      <c r="I50" s="4"/>
      <c r="J50" s="4"/>
      <c r="K50" s="4"/>
      <c r="L50" s="4"/>
      <c r="M50" s="87" t="s">
        <v>98</v>
      </c>
      <c r="N50" s="87"/>
      <c r="O50" s="157">
        <v>0.1</v>
      </c>
      <c r="P50" s="158"/>
      <c r="Q50" s="66"/>
      <c r="R50" s="66"/>
      <c r="S50" s="3" t="s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72"/>
      <c r="AE50" s="72"/>
      <c r="AF50" s="72"/>
      <c r="AG50" s="72"/>
      <c r="AH50" s="93"/>
      <c r="AI50" s="72"/>
      <c r="AJ50" s="72"/>
      <c r="AK50" s="72"/>
      <c r="AL50" s="72"/>
      <c r="AM50" s="72"/>
    </row>
    <row r="51">
      <c r="A51" s="4"/>
      <c r="B51" s="83" t="s">
        <v>40</v>
      </c>
      <c r="C51" s="84"/>
      <c r="D51" s="94">
        <v>0.019</v>
      </c>
      <c r="E51" s="86"/>
      <c r="F51" s="87"/>
      <c r="G51" s="88"/>
      <c r="H51" s="4"/>
      <c r="I51" s="4"/>
      <c r="J51" s="4"/>
      <c r="K51" s="4"/>
      <c r="L51" s="4"/>
      <c r="M51" s="87" t="s">
        <v>99</v>
      </c>
      <c r="N51" s="87"/>
      <c r="O51" s="157">
        <v>0.1</v>
      </c>
      <c r="P51" s="158"/>
      <c r="Q51" s="66"/>
      <c r="R51" s="66"/>
      <c r="S51" s="3" t="s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72"/>
      <c r="AE51" s="72"/>
      <c r="AF51" s="72"/>
      <c r="AG51" s="72"/>
      <c r="AH51" s="93"/>
      <c r="AI51" s="72"/>
      <c r="AJ51" s="72"/>
      <c r="AK51" s="72"/>
      <c r="AL51" s="72"/>
      <c r="AM51" s="72"/>
    </row>
    <row r="52">
      <c r="A52" s="4"/>
      <c r="B52" s="83" t="s">
        <v>53</v>
      </c>
      <c r="C52" s="84"/>
      <c r="D52" s="95">
        <v>0.0</v>
      </c>
      <c r="E52" s="86"/>
      <c r="F52" s="87"/>
      <c r="G52" s="88"/>
      <c r="H52" s="4"/>
      <c r="I52" s="4"/>
      <c r="J52" s="4"/>
      <c r="K52" s="4"/>
      <c r="L52" s="4"/>
      <c r="M52" s="87" t="s">
        <v>100</v>
      </c>
      <c r="N52" s="87"/>
      <c r="O52" s="157">
        <v>0.15</v>
      </c>
      <c r="P52" s="158"/>
      <c r="Q52" s="66"/>
      <c r="R52" s="66"/>
      <c r="S52" s="3" t="s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72"/>
      <c r="AE52" s="72"/>
      <c r="AF52" s="72"/>
      <c r="AG52" s="72"/>
      <c r="AH52" s="93"/>
      <c r="AI52" s="72"/>
      <c r="AJ52" s="72"/>
      <c r="AK52" s="72"/>
      <c r="AL52" s="72"/>
      <c r="AM52" s="72"/>
    </row>
    <row r="53">
      <c r="A53" s="4"/>
      <c r="B53" s="83" t="s">
        <v>55</v>
      </c>
      <c r="C53" s="84"/>
      <c r="D53" s="95">
        <f>SUM(F75:F86)/-$D$62</f>
        <v>0.4</v>
      </c>
      <c r="E53" s="86"/>
      <c r="F53" s="87"/>
      <c r="G53" s="87"/>
      <c r="H53" s="4"/>
      <c r="I53" s="4"/>
      <c r="J53" s="4"/>
      <c r="K53" s="4"/>
      <c r="L53" s="4"/>
      <c r="M53" s="87" t="s">
        <v>101</v>
      </c>
      <c r="N53" s="87"/>
      <c r="O53" s="157">
        <v>0.15</v>
      </c>
      <c r="P53" s="158"/>
      <c r="Q53" s="66"/>
      <c r="R53" s="66"/>
      <c r="S53" s="3" t="s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72"/>
      <c r="AE53" s="72"/>
      <c r="AF53" s="72"/>
      <c r="AG53" s="72"/>
      <c r="AH53" s="93"/>
      <c r="AI53" s="72"/>
      <c r="AJ53" s="72"/>
      <c r="AK53" s="72"/>
      <c r="AL53" s="72"/>
      <c r="AM53" s="72"/>
    </row>
    <row r="54">
      <c r="A54" s="4"/>
      <c r="B54" s="83" t="s">
        <v>102</v>
      </c>
      <c r="C54" s="84"/>
      <c r="D54" s="95">
        <f>SUM(F87:F98)/-$D$62</f>
        <v>0.6</v>
      </c>
      <c r="E54" s="86"/>
      <c r="F54" s="87"/>
      <c r="G54" s="87"/>
      <c r="H54" s="4"/>
      <c r="I54" s="4"/>
      <c r="J54" s="4"/>
      <c r="K54" s="4"/>
      <c r="L54" s="4"/>
      <c r="M54" s="87" t="s">
        <v>103</v>
      </c>
      <c r="N54" s="87"/>
      <c r="O54" s="157">
        <v>0.15</v>
      </c>
      <c r="P54" s="158"/>
      <c r="Q54" s="66"/>
      <c r="R54" s="66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72"/>
      <c r="AE54" s="72"/>
      <c r="AF54" s="72"/>
      <c r="AG54" s="72"/>
      <c r="AH54" s="93"/>
      <c r="AI54" s="72"/>
      <c r="AJ54" s="72"/>
      <c r="AK54" s="72"/>
      <c r="AL54" s="72"/>
      <c r="AM54" s="72"/>
    </row>
    <row r="55">
      <c r="A55" s="4"/>
      <c r="B55" s="96" t="s">
        <v>57</v>
      </c>
      <c r="C55" s="97"/>
      <c r="D55" s="98">
        <f>IRR(G62:G98)</f>
        <v>0.019</v>
      </c>
      <c r="E55" s="99"/>
      <c r="F55" s="100"/>
      <c r="G55" s="101"/>
      <c r="H55" s="4"/>
      <c r="I55" s="4"/>
      <c r="J55" s="4"/>
      <c r="K55" s="4"/>
      <c r="L55" s="4"/>
      <c r="M55" s="102" t="s">
        <v>104</v>
      </c>
      <c r="N55" s="102"/>
      <c r="O55" s="103">
        <v>0.15</v>
      </c>
      <c r="P55" s="4"/>
      <c r="Q55" s="4"/>
      <c r="R55" s="4"/>
      <c r="S55" s="3" t="s">
        <v>1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72"/>
      <c r="AE55" s="72"/>
      <c r="AF55" s="72"/>
      <c r="AG55" s="72"/>
      <c r="AH55" s="93"/>
      <c r="AI55" s="72"/>
      <c r="AJ55" s="72"/>
      <c r="AK55" s="72"/>
      <c r="AL55" s="72"/>
      <c r="AM55" s="72"/>
    </row>
    <row r="56">
      <c r="A56" s="4"/>
      <c r="B56" s="4"/>
      <c r="C56" s="4"/>
      <c r="D56" s="4"/>
      <c r="E56" s="72"/>
      <c r="F56" s="72"/>
      <c r="G56" s="72"/>
      <c r="H56" s="4"/>
      <c r="I56" s="4"/>
      <c r="J56" s="4"/>
      <c r="K56" s="4"/>
      <c r="L56" s="4"/>
      <c r="M56" s="104"/>
      <c r="N56" s="72"/>
      <c r="O56" s="4"/>
      <c r="P56" s="4"/>
      <c r="Q56" s="4"/>
      <c r="R56" s="4"/>
      <c r="S56" s="3" t="s">
        <v>1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72"/>
      <c r="AE56" s="72"/>
      <c r="AF56" s="72"/>
      <c r="AG56" s="72"/>
      <c r="AH56" s="93"/>
      <c r="AI56" s="72"/>
      <c r="AJ56" s="72"/>
      <c r="AK56" s="72"/>
      <c r="AL56" s="72"/>
      <c r="AM56" s="72"/>
    </row>
    <row r="57">
      <c r="A57" s="4"/>
      <c r="B57" s="4"/>
      <c r="C57" s="4"/>
      <c r="D57" s="4"/>
      <c r="E57" s="4"/>
      <c r="F57" s="4"/>
      <c r="G57" s="4"/>
      <c r="H57" s="4"/>
      <c r="I57" s="72"/>
      <c r="J57" s="72"/>
      <c r="K57" s="72"/>
      <c r="L57" s="72"/>
      <c r="M57" s="4"/>
      <c r="N57" s="4"/>
      <c r="O57" s="4"/>
      <c r="P57" s="4"/>
      <c r="Q57" s="4"/>
      <c r="R57" s="4"/>
      <c r="S57" s="3" t="s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72"/>
      <c r="AE57" s="72"/>
      <c r="AF57" s="72"/>
      <c r="AG57" s="72"/>
      <c r="AH57" s="72"/>
      <c r="AI57" s="4"/>
      <c r="AJ57" s="72"/>
      <c r="AK57" s="72"/>
      <c r="AL57" s="72"/>
      <c r="AM57" s="72"/>
    </row>
    <row r="58">
      <c r="A58" s="4"/>
      <c r="B58" s="132"/>
      <c r="C58" s="4"/>
      <c r="D58" s="4"/>
      <c r="E58" s="133" t="s">
        <v>70</v>
      </c>
      <c r="F58" s="134"/>
      <c r="G58" s="4"/>
      <c r="H58" s="133" t="s">
        <v>70</v>
      </c>
      <c r="I58" s="133"/>
      <c r="J58" s="133"/>
      <c r="K58" s="133" t="s">
        <v>70</v>
      </c>
      <c r="L58" s="133"/>
      <c r="M58" s="4"/>
      <c r="N58" s="66"/>
      <c r="O58" s="4"/>
      <c r="P58" s="4"/>
      <c r="Q58" s="4"/>
      <c r="R58" s="4"/>
      <c r="S58" s="3" t="s">
        <v>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4"/>
      <c r="B59" s="105" t="s">
        <v>71</v>
      </c>
      <c r="C59" s="106"/>
      <c r="D59" s="107"/>
      <c r="E59" s="108"/>
      <c r="F59" s="108"/>
      <c r="G59" s="107"/>
      <c r="H59" s="72"/>
      <c r="I59" s="72"/>
      <c r="J59" s="72"/>
      <c r="K59" s="72"/>
      <c r="L59" s="72"/>
      <c r="M59" s="107"/>
      <c r="N59" s="107"/>
      <c r="O59" s="109"/>
      <c r="P59" s="4"/>
      <c r="Q59" s="4"/>
      <c r="R59" s="4"/>
      <c r="S59" s="3" t="s">
        <v>1</v>
      </c>
      <c r="T59" s="110"/>
      <c r="U59" s="110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4"/>
      <c r="B60" s="132"/>
      <c r="C60" s="4"/>
      <c r="D60" s="4"/>
      <c r="E60" s="133"/>
      <c r="F60" s="134"/>
      <c r="G60" s="4"/>
      <c r="H60" s="133"/>
      <c r="I60" s="133"/>
      <c r="J60" s="133"/>
      <c r="K60" s="133"/>
      <c r="L60" s="133"/>
      <c r="M60" s="4"/>
      <c r="N60" s="66"/>
      <c r="O60" s="4"/>
      <c r="P60" s="4"/>
      <c r="Q60" s="4"/>
      <c r="R60" s="4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4"/>
      <c r="B61" s="159" t="s">
        <v>72</v>
      </c>
      <c r="C61" s="160" t="s">
        <v>73</v>
      </c>
      <c r="D61" s="160" t="s">
        <v>74</v>
      </c>
      <c r="E61" s="159" t="s">
        <v>75</v>
      </c>
      <c r="F61" s="159" t="s">
        <v>76</v>
      </c>
      <c r="G61" s="160" t="s">
        <v>49</v>
      </c>
      <c r="H61" s="159" t="s">
        <v>77</v>
      </c>
      <c r="I61" s="160" t="s">
        <v>78</v>
      </c>
      <c r="J61" s="159" t="s">
        <v>79</v>
      </c>
      <c r="K61" s="160" t="s">
        <v>80</v>
      </c>
      <c r="L61" s="160" t="s">
        <v>81</v>
      </c>
      <c r="M61" s="161" t="s">
        <v>82</v>
      </c>
      <c r="N61" s="66"/>
      <c r="O61" s="4"/>
      <c r="P61" s="4"/>
      <c r="Q61" s="4"/>
      <c r="R61" s="4"/>
      <c r="S61" s="3" t="s">
        <v>1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4"/>
      <c r="B62" s="162">
        <v>0.0</v>
      </c>
      <c r="C62" s="163">
        <v>45139.0</v>
      </c>
      <c r="D62" s="164">
        <f>-C28</f>
        <v>-100000</v>
      </c>
      <c r="E62" s="165"/>
      <c r="F62" s="165"/>
      <c r="G62" s="166">
        <f>D62</f>
        <v>-100000</v>
      </c>
      <c r="H62" s="165"/>
      <c r="I62" s="165"/>
      <c r="J62" s="165"/>
      <c r="K62" s="167">
        <v>0.0</v>
      </c>
      <c r="L62" s="165">
        <f>K62*-G62</f>
        <v>0</v>
      </c>
      <c r="M62" s="168">
        <f>D62</f>
        <v>-100000</v>
      </c>
      <c r="N62" s="4"/>
      <c r="O62" s="4"/>
      <c r="P62" s="4"/>
      <c r="Q62" s="4"/>
      <c r="R62" s="4"/>
      <c r="S62" s="3" t="s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4"/>
      <c r="B63" s="169">
        <v>1.0</v>
      </c>
      <c r="C63" s="170">
        <v>45199.0</v>
      </c>
      <c r="D63" s="171">
        <v>0.0</v>
      </c>
      <c r="E63" s="171"/>
      <c r="F63" s="171"/>
      <c r="G63" s="171">
        <f t="shared" ref="G63:G98" si="1">F63+E63</f>
        <v>0</v>
      </c>
      <c r="H63" s="171">
        <f>-D62-G63</f>
        <v>100000</v>
      </c>
      <c r="I63" s="171">
        <f>H63*$D$51</f>
        <v>1900</v>
      </c>
      <c r="J63" s="171">
        <f t="shared" ref="J63:J98" si="2">I63+H63</f>
        <v>101900</v>
      </c>
      <c r="K63" s="172">
        <v>0.225</v>
      </c>
      <c r="L63" s="171">
        <f t="shared" ref="L63:L98" si="3">K63*-E63</f>
        <v>0</v>
      </c>
      <c r="M63" s="173">
        <f t="shared" ref="M63:M98" si="4">G63+L63</f>
        <v>0</v>
      </c>
      <c r="N63" s="4"/>
      <c r="O63" s="4"/>
      <c r="P63" s="4"/>
      <c r="Q63" s="4"/>
      <c r="R63" s="4"/>
      <c r="S63" s="3" t="s">
        <v>1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4"/>
      <c r="B64" s="169">
        <v>2.0</v>
      </c>
      <c r="C64" s="170">
        <v>45230.0</v>
      </c>
      <c r="D64" s="171">
        <v>0.0</v>
      </c>
      <c r="E64" s="171"/>
      <c r="F64" s="171"/>
      <c r="G64" s="171">
        <f t="shared" si="1"/>
        <v>0</v>
      </c>
      <c r="H64" s="171">
        <f t="shared" ref="H64:H98" si="5">J63-G64</f>
        <v>101900</v>
      </c>
      <c r="I64" s="171">
        <f t="shared" ref="I64:I98" si="6">J63*$D$51</f>
        <v>1936.1</v>
      </c>
      <c r="J64" s="171">
        <f t="shared" si="2"/>
        <v>103836.1</v>
      </c>
      <c r="K64" s="172">
        <v>0.225</v>
      </c>
      <c r="L64" s="171">
        <f t="shared" si="3"/>
        <v>0</v>
      </c>
      <c r="M64" s="173">
        <f t="shared" si="4"/>
        <v>0</v>
      </c>
      <c r="N64" s="4"/>
      <c r="O64" s="4"/>
      <c r="P64" s="4"/>
      <c r="Q64" s="4"/>
      <c r="R64" s="4"/>
      <c r="S64" s="3" t="s">
        <v>1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4"/>
      <c r="B65" s="169">
        <v>3.0</v>
      </c>
      <c r="C65" s="170">
        <v>45260.0</v>
      </c>
      <c r="D65" s="171">
        <v>0.0</v>
      </c>
      <c r="E65" s="171">
        <f>SUM(I63:I65)</f>
        <v>5808.9859</v>
      </c>
      <c r="F65" s="171"/>
      <c r="G65" s="171">
        <f t="shared" si="1"/>
        <v>5808.9859</v>
      </c>
      <c r="H65" s="171">
        <f t="shared" si="5"/>
        <v>98027.1141</v>
      </c>
      <c r="I65" s="171">
        <f t="shared" si="6"/>
        <v>1972.8859</v>
      </c>
      <c r="J65" s="171">
        <f t="shared" si="2"/>
        <v>100000</v>
      </c>
      <c r="K65" s="172">
        <v>0.225</v>
      </c>
      <c r="L65" s="171">
        <f t="shared" si="3"/>
        <v>-1307.021828</v>
      </c>
      <c r="M65" s="173">
        <f t="shared" si="4"/>
        <v>4501.964073</v>
      </c>
      <c r="N65" s="66"/>
      <c r="O65" s="4"/>
      <c r="P65" s="4"/>
      <c r="Q65" s="4"/>
      <c r="R65" s="4"/>
      <c r="S65" s="3" t="s">
        <v>1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4"/>
      <c r="B66" s="169">
        <v>4.0</v>
      </c>
      <c r="C66" s="170">
        <v>45291.0</v>
      </c>
      <c r="D66" s="171">
        <v>0.0</v>
      </c>
      <c r="E66" s="171"/>
      <c r="F66" s="171"/>
      <c r="G66" s="171">
        <f t="shared" si="1"/>
        <v>0</v>
      </c>
      <c r="H66" s="171">
        <f t="shared" si="5"/>
        <v>100000</v>
      </c>
      <c r="I66" s="171">
        <f t="shared" si="6"/>
        <v>1900</v>
      </c>
      <c r="J66" s="171">
        <f t="shared" si="2"/>
        <v>101900</v>
      </c>
      <c r="K66" s="172">
        <v>0.225</v>
      </c>
      <c r="L66" s="171">
        <f t="shared" si="3"/>
        <v>0</v>
      </c>
      <c r="M66" s="173">
        <f t="shared" si="4"/>
        <v>0</v>
      </c>
      <c r="N66" s="4"/>
      <c r="O66" s="4"/>
      <c r="P66" s="4"/>
      <c r="Q66" s="4"/>
      <c r="R66" s="4"/>
      <c r="S66" s="3" t="s">
        <v>1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4"/>
      <c r="B67" s="169">
        <v>5.0</v>
      </c>
      <c r="C67" s="170">
        <v>45322.0</v>
      </c>
      <c r="D67" s="171">
        <v>0.0</v>
      </c>
      <c r="E67" s="171"/>
      <c r="F67" s="171"/>
      <c r="G67" s="171">
        <f t="shared" si="1"/>
        <v>0</v>
      </c>
      <c r="H67" s="171">
        <f t="shared" si="5"/>
        <v>101900</v>
      </c>
      <c r="I67" s="171">
        <f t="shared" si="6"/>
        <v>1936.1</v>
      </c>
      <c r="J67" s="171">
        <f t="shared" si="2"/>
        <v>103836.1</v>
      </c>
      <c r="K67" s="172">
        <v>0.225</v>
      </c>
      <c r="L67" s="171">
        <f t="shared" si="3"/>
        <v>0</v>
      </c>
      <c r="M67" s="173">
        <f t="shared" si="4"/>
        <v>0</v>
      </c>
      <c r="N67" s="4"/>
      <c r="O67" s="4"/>
      <c r="P67" s="4"/>
      <c r="Q67" s="4"/>
      <c r="R67" s="4"/>
      <c r="S67" s="3" t="s">
        <v>1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4"/>
      <c r="B68" s="169">
        <v>6.0</v>
      </c>
      <c r="C68" s="170">
        <v>45351.0</v>
      </c>
      <c r="D68" s="171">
        <v>0.0</v>
      </c>
      <c r="E68" s="171">
        <f>SUM(I66:I68)</f>
        <v>5808.9859</v>
      </c>
      <c r="F68" s="171"/>
      <c r="G68" s="171">
        <f t="shared" si="1"/>
        <v>5808.9859</v>
      </c>
      <c r="H68" s="171">
        <f t="shared" si="5"/>
        <v>98027.1141</v>
      </c>
      <c r="I68" s="171">
        <f t="shared" si="6"/>
        <v>1972.8859</v>
      </c>
      <c r="J68" s="171">
        <f t="shared" si="2"/>
        <v>100000</v>
      </c>
      <c r="K68" s="172">
        <v>0.225</v>
      </c>
      <c r="L68" s="171">
        <f t="shared" si="3"/>
        <v>-1307.021828</v>
      </c>
      <c r="M68" s="173">
        <f t="shared" si="4"/>
        <v>4501.964073</v>
      </c>
      <c r="N68" s="66"/>
      <c r="O68" s="4"/>
      <c r="P68" s="4"/>
      <c r="Q68" s="4"/>
      <c r="R68" s="4"/>
      <c r="S68" s="3" t="s">
        <v>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4"/>
      <c r="B69" s="169">
        <v>7.0</v>
      </c>
      <c r="C69" s="170">
        <v>45382.0</v>
      </c>
      <c r="D69" s="171">
        <v>0.0</v>
      </c>
      <c r="E69" s="171"/>
      <c r="F69" s="171"/>
      <c r="G69" s="171">
        <f t="shared" si="1"/>
        <v>0</v>
      </c>
      <c r="H69" s="171">
        <f t="shared" si="5"/>
        <v>100000</v>
      </c>
      <c r="I69" s="171">
        <f t="shared" si="6"/>
        <v>1900</v>
      </c>
      <c r="J69" s="171">
        <f t="shared" si="2"/>
        <v>101900</v>
      </c>
      <c r="K69" s="172">
        <v>0.2</v>
      </c>
      <c r="L69" s="171">
        <f t="shared" si="3"/>
        <v>0</v>
      </c>
      <c r="M69" s="173">
        <f t="shared" si="4"/>
        <v>0</v>
      </c>
      <c r="N69" s="4"/>
      <c r="O69" s="4"/>
      <c r="P69" s="4"/>
      <c r="Q69" s="4"/>
      <c r="R69" s="4"/>
      <c r="S69" s="3" t="s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4"/>
      <c r="B70" s="169">
        <v>8.0</v>
      </c>
      <c r="C70" s="170">
        <v>45412.0</v>
      </c>
      <c r="D70" s="171">
        <v>0.0</v>
      </c>
      <c r="E70" s="171"/>
      <c r="F70" s="171"/>
      <c r="G70" s="171">
        <f t="shared" si="1"/>
        <v>0</v>
      </c>
      <c r="H70" s="171">
        <f t="shared" si="5"/>
        <v>101900</v>
      </c>
      <c r="I70" s="171">
        <f t="shared" si="6"/>
        <v>1936.1</v>
      </c>
      <c r="J70" s="171">
        <f t="shared" si="2"/>
        <v>103836.1</v>
      </c>
      <c r="K70" s="172">
        <v>0.2</v>
      </c>
      <c r="L70" s="171">
        <f t="shared" si="3"/>
        <v>0</v>
      </c>
      <c r="M70" s="173">
        <f t="shared" si="4"/>
        <v>0</v>
      </c>
      <c r="N70" s="4"/>
      <c r="O70" s="4"/>
      <c r="P70" s="4"/>
      <c r="Q70" s="4"/>
      <c r="R70" s="4"/>
      <c r="S70" s="3" t="s">
        <v>1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4"/>
      <c r="B71" s="169">
        <v>9.0</v>
      </c>
      <c r="C71" s="170">
        <v>45443.0</v>
      </c>
      <c r="D71" s="171">
        <v>0.0</v>
      </c>
      <c r="E71" s="171">
        <f>SUM(I69:I71)</f>
        <v>5808.9859</v>
      </c>
      <c r="F71" s="171"/>
      <c r="G71" s="171">
        <f t="shared" si="1"/>
        <v>5808.9859</v>
      </c>
      <c r="H71" s="171">
        <f t="shared" si="5"/>
        <v>98027.1141</v>
      </c>
      <c r="I71" s="171">
        <f t="shared" si="6"/>
        <v>1972.8859</v>
      </c>
      <c r="J71" s="171">
        <f t="shared" si="2"/>
        <v>100000</v>
      </c>
      <c r="K71" s="172">
        <v>0.2</v>
      </c>
      <c r="L71" s="171">
        <f t="shared" si="3"/>
        <v>-1161.79718</v>
      </c>
      <c r="M71" s="173">
        <f t="shared" si="4"/>
        <v>4647.18872</v>
      </c>
      <c r="N71" s="66"/>
      <c r="O71" s="4"/>
      <c r="P71" s="4"/>
      <c r="Q71" s="4"/>
      <c r="R71" s="4"/>
      <c r="S71" s="3" t="s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4"/>
      <c r="B72" s="169">
        <v>10.0</v>
      </c>
      <c r="C72" s="170">
        <v>45473.0</v>
      </c>
      <c r="D72" s="171">
        <v>0.0</v>
      </c>
      <c r="E72" s="171"/>
      <c r="F72" s="171"/>
      <c r="G72" s="171">
        <f t="shared" si="1"/>
        <v>0</v>
      </c>
      <c r="H72" s="171">
        <f t="shared" si="5"/>
        <v>100000</v>
      </c>
      <c r="I72" s="171">
        <f t="shared" si="6"/>
        <v>1900</v>
      </c>
      <c r="J72" s="171">
        <f t="shared" si="2"/>
        <v>101900</v>
      </c>
      <c r="K72" s="172">
        <v>0.2</v>
      </c>
      <c r="L72" s="171">
        <f t="shared" si="3"/>
        <v>0</v>
      </c>
      <c r="M72" s="173">
        <f t="shared" si="4"/>
        <v>0</v>
      </c>
      <c r="N72" s="4"/>
      <c r="O72" s="4"/>
      <c r="P72" s="4"/>
      <c r="Q72" s="4"/>
      <c r="R72" s="4"/>
      <c r="S72" s="3" t="s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4"/>
      <c r="B73" s="169">
        <v>11.0</v>
      </c>
      <c r="C73" s="170">
        <v>45504.0</v>
      </c>
      <c r="D73" s="171">
        <v>0.0</v>
      </c>
      <c r="E73" s="171"/>
      <c r="F73" s="171"/>
      <c r="G73" s="171">
        <f t="shared" si="1"/>
        <v>0</v>
      </c>
      <c r="H73" s="171">
        <f t="shared" si="5"/>
        <v>101900</v>
      </c>
      <c r="I73" s="171">
        <f t="shared" si="6"/>
        <v>1936.1</v>
      </c>
      <c r="J73" s="171">
        <f t="shared" si="2"/>
        <v>103836.1</v>
      </c>
      <c r="K73" s="172">
        <v>0.2</v>
      </c>
      <c r="L73" s="171">
        <f t="shared" si="3"/>
        <v>0</v>
      </c>
      <c r="M73" s="173">
        <f t="shared" si="4"/>
        <v>0</v>
      </c>
      <c r="N73" s="4"/>
      <c r="O73" s="4"/>
      <c r="P73" s="4"/>
      <c r="Q73" s="4"/>
      <c r="R73" s="4"/>
      <c r="S73" s="3" t="s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4"/>
      <c r="B74" s="169">
        <v>12.0</v>
      </c>
      <c r="C74" s="170">
        <v>45535.0</v>
      </c>
      <c r="D74" s="171">
        <v>0.0</v>
      </c>
      <c r="E74" s="171">
        <f>SUM(I72:I74)</f>
        <v>5808.9859</v>
      </c>
      <c r="F74" s="171"/>
      <c r="G74" s="171">
        <f t="shared" si="1"/>
        <v>5808.9859</v>
      </c>
      <c r="H74" s="171">
        <f t="shared" si="5"/>
        <v>98027.1141</v>
      </c>
      <c r="I74" s="171">
        <f t="shared" si="6"/>
        <v>1972.8859</v>
      </c>
      <c r="J74" s="171">
        <f t="shared" si="2"/>
        <v>100000</v>
      </c>
      <c r="K74" s="172">
        <v>0.2</v>
      </c>
      <c r="L74" s="171">
        <f t="shared" si="3"/>
        <v>-1161.79718</v>
      </c>
      <c r="M74" s="173">
        <f t="shared" si="4"/>
        <v>4647.18872</v>
      </c>
      <c r="N74" s="66"/>
      <c r="O74" s="4"/>
      <c r="P74" s="4"/>
      <c r="Q74" s="4"/>
      <c r="R74" s="4"/>
      <c r="S74" s="3" t="s">
        <v>1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4"/>
      <c r="B75" s="169">
        <v>13.0</v>
      </c>
      <c r="C75" s="170">
        <v>45565.0</v>
      </c>
      <c r="D75" s="171">
        <v>0.0</v>
      </c>
      <c r="E75" s="171"/>
      <c r="F75" s="171"/>
      <c r="G75" s="171">
        <f t="shared" si="1"/>
        <v>0</v>
      </c>
      <c r="H75" s="171">
        <f t="shared" si="5"/>
        <v>100000</v>
      </c>
      <c r="I75" s="171">
        <f t="shared" si="6"/>
        <v>1900</v>
      </c>
      <c r="J75" s="171">
        <f t="shared" si="2"/>
        <v>101900</v>
      </c>
      <c r="K75" s="172">
        <v>0.175</v>
      </c>
      <c r="L75" s="171">
        <f t="shared" si="3"/>
        <v>0</v>
      </c>
      <c r="M75" s="173">
        <f t="shared" si="4"/>
        <v>0</v>
      </c>
      <c r="N75" s="66"/>
      <c r="O75" s="4"/>
      <c r="P75" s="4"/>
      <c r="Q75" s="4"/>
      <c r="R75" s="4"/>
      <c r="S75" s="3" t="s">
        <v>1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4"/>
      <c r="B76" s="169">
        <v>14.0</v>
      </c>
      <c r="C76" s="170">
        <v>45596.0</v>
      </c>
      <c r="D76" s="171">
        <v>0.0</v>
      </c>
      <c r="E76" s="171"/>
      <c r="F76" s="171"/>
      <c r="G76" s="171">
        <f t="shared" si="1"/>
        <v>0</v>
      </c>
      <c r="H76" s="171">
        <f t="shared" si="5"/>
        <v>101900</v>
      </c>
      <c r="I76" s="171">
        <f t="shared" si="6"/>
        <v>1936.1</v>
      </c>
      <c r="J76" s="171">
        <f t="shared" si="2"/>
        <v>103836.1</v>
      </c>
      <c r="K76" s="172">
        <v>0.175</v>
      </c>
      <c r="L76" s="171">
        <f t="shared" si="3"/>
        <v>0</v>
      </c>
      <c r="M76" s="173">
        <f t="shared" si="4"/>
        <v>0</v>
      </c>
      <c r="N76" s="66"/>
      <c r="O76" s="4"/>
      <c r="P76" s="4"/>
      <c r="Q76" s="4"/>
      <c r="R76" s="4"/>
      <c r="S76" s="3" t="s">
        <v>1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4"/>
      <c r="B77" s="169">
        <v>15.0</v>
      </c>
      <c r="C77" s="170">
        <v>45626.0</v>
      </c>
      <c r="D77" s="171">
        <v>0.0</v>
      </c>
      <c r="E77" s="171">
        <f>SUM(I75:I77)</f>
        <v>5808.9859</v>
      </c>
      <c r="F77" s="171">
        <f>-$D$62*$O$48</f>
        <v>10000</v>
      </c>
      <c r="G77" s="171">
        <f t="shared" si="1"/>
        <v>15808.9859</v>
      </c>
      <c r="H77" s="171">
        <f t="shared" si="5"/>
        <v>88027.1141</v>
      </c>
      <c r="I77" s="171">
        <f t="shared" si="6"/>
        <v>1972.8859</v>
      </c>
      <c r="J77" s="171">
        <f t="shared" si="2"/>
        <v>90000</v>
      </c>
      <c r="K77" s="172">
        <v>0.175</v>
      </c>
      <c r="L77" s="171">
        <f t="shared" si="3"/>
        <v>-1016.572533</v>
      </c>
      <c r="M77" s="173">
        <f t="shared" si="4"/>
        <v>14792.41337</v>
      </c>
      <c r="N77" s="66"/>
      <c r="O77" s="4"/>
      <c r="P77" s="4"/>
      <c r="Q77" s="4"/>
      <c r="R77" s="4"/>
      <c r="S77" s="3" t="s">
        <v>1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4"/>
      <c r="B78" s="169">
        <v>16.0</v>
      </c>
      <c r="C78" s="170">
        <v>45657.0</v>
      </c>
      <c r="D78" s="171">
        <v>0.0</v>
      </c>
      <c r="E78" s="171"/>
      <c r="F78" s="171"/>
      <c r="G78" s="171">
        <f t="shared" si="1"/>
        <v>0</v>
      </c>
      <c r="H78" s="171">
        <f t="shared" si="5"/>
        <v>90000</v>
      </c>
      <c r="I78" s="171">
        <f t="shared" si="6"/>
        <v>1710</v>
      </c>
      <c r="J78" s="171">
        <f t="shared" si="2"/>
        <v>91710</v>
      </c>
      <c r="K78" s="172">
        <v>0.175</v>
      </c>
      <c r="L78" s="171">
        <f t="shared" si="3"/>
        <v>0</v>
      </c>
      <c r="M78" s="173">
        <f t="shared" si="4"/>
        <v>0</v>
      </c>
      <c r="N78" s="66"/>
      <c r="O78" s="4"/>
      <c r="P78" s="4"/>
      <c r="Q78" s="4"/>
      <c r="R78" s="4"/>
      <c r="S78" s="3" t="s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4"/>
      <c r="B79" s="169">
        <v>17.0</v>
      </c>
      <c r="C79" s="170">
        <v>45688.0</v>
      </c>
      <c r="D79" s="171">
        <v>0.0</v>
      </c>
      <c r="E79" s="171"/>
      <c r="F79" s="171"/>
      <c r="G79" s="171">
        <f t="shared" si="1"/>
        <v>0</v>
      </c>
      <c r="H79" s="171">
        <f t="shared" si="5"/>
        <v>91710</v>
      </c>
      <c r="I79" s="171">
        <f t="shared" si="6"/>
        <v>1742.49</v>
      </c>
      <c r="J79" s="171">
        <f t="shared" si="2"/>
        <v>93452.49</v>
      </c>
      <c r="K79" s="172">
        <v>0.175</v>
      </c>
      <c r="L79" s="171">
        <f t="shared" si="3"/>
        <v>0</v>
      </c>
      <c r="M79" s="173">
        <f t="shared" si="4"/>
        <v>0</v>
      </c>
      <c r="N79" s="66"/>
      <c r="O79" s="4"/>
      <c r="P79" s="4"/>
      <c r="Q79" s="4"/>
      <c r="R79" s="4"/>
      <c r="S79" s="3" t="s">
        <v>1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4"/>
      <c r="B80" s="169">
        <v>18.0</v>
      </c>
      <c r="C80" s="170">
        <v>45716.0</v>
      </c>
      <c r="D80" s="171">
        <v>0.0</v>
      </c>
      <c r="E80" s="171">
        <f>SUM(I78:I80)</f>
        <v>5228.08731</v>
      </c>
      <c r="F80" s="171">
        <f>-$D$62*$O$49</f>
        <v>10000</v>
      </c>
      <c r="G80" s="171">
        <f t="shared" si="1"/>
        <v>15228.08731</v>
      </c>
      <c r="H80" s="171">
        <f t="shared" si="5"/>
        <v>78224.40269</v>
      </c>
      <c r="I80" s="171">
        <f t="shared" si="6"/>
        <v>1775.59731</v>
      </c>
      <c r="J80" s="171">
        <f t="shared" si="2"/>
        <v>80000</v>
      </c>
      <c r="K80" s="172">
        <v>0.175</v>
      </c>
      <c r="L80" s="171">
        <f t="shared" si="3"/>
        <v>-914.9152793</v>
      </c>
      <c r="M80" s="173">
        <f t="shared" si="4"/>
        <v>14313.17203</v>
      </c>
      <c r="N80" s="66"/>
      <c r="O80" s="4"/>
      <c r="P80" s="4"/>
      <c r="Q80" s="4"/>
      <c r="R80" s="4"/>
      <c r="S80" s="3" t="s">
        <v>1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4"/>
      <c r="B81" s="169">
        <v>19.0</v>
      </c>
      <c r="C81" s="170">
        <v>45747.0</v>
      </c>
      <c r="D81" s="171">
        <v>0.0</v>
      </c>
      <c r="E81" s="171"/>
      <c r="F81" s="171"/>
      <c r="G81" s="171">
        <f t="shared" si="1"/>
        <v>0</v>
      </c>
      <c r="H81" s="171">
        <f t="shared" si="5"/>
        <v>80000</v>
      </c>
      <c r="I81" s="171">
        <f t="shared" si="6"/>
        <v>1520</v>
      </c>
      <c r="J81" s="171">
        <f t="shared" si="2"/>
        <v>81520</v>
      </c>
      <c r="K81" s="172">
        <v>0.175</v>
      </c>
      <c r="L81" s="171">
        <f t="shared" si="3"/>
        <v>0</v>
      </c>
      <c r="M81" s="173">
        <f t="shared" si="4"/>
        <v>0</v>
      </c>
      <c r="N81" s="66"/>
      <c r="O81" s="4"/>
      <c r="P81" s="4"/>
      <c r="Q81" s="4"/>
      <c r="R81" s="4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4"/>
      <c r="B82" s="169">
        <v>20.0</v>
      </c>
      <c r="C82" s="170">
        <v>45777.0</v>
      </c>
      <c r="D82" s="171">
        <v>0.0</v>
      </c>
      <c r="E82" s="171"/>
      <c r="F82" s="171"/>
      <c r="G82" s="171">
        <f t="shared" si="1"/>
        <v>0</v>
      </c>
      <c r="H82" s="171">
        <f t="shared" si="5"/>
        <v>81520</v>
      </c>
      <c r="I82" s="171">
        <f t="shared" si="6"/>
        <v>1548.88</v>
      </c>
      <c r="J82" s="171">
        <f t="shared" si="2"/>
        <v>83068.88</v>
      </c>
      <c r="K82" s="172">
        <v>0.175</v>
      </c>
      <c r="L82" s="171">
        <f t="shared" si="3"/>
        <v>0</v>
      </c>
      <c r="M82" s="173">
        <f t="shared" si="4"/>
        <v>0</v>
      </c>
      <c r="N82" s="66"/>
      <c r="O82" s="4"/>
      <c r="P82" s="4"/>
      <c r="Q82" s="4"/>
      <c r="R82" s="4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4"/>
      <c r="B83" s="169">
        <v>21.0</v>
      </c>
      <c r="C83" s="170">
        <v>45808.0</v>
      </c>
      <c r="D83" s="171">
        <v>0.0</v>
      </c>
      <c r="E83" s="171">
        <f>SUM(I81:I83)</f>
        <v>4647.18872</v>
      </c>
      <c r="F83" s="171">
        <f>-$D$62*$O$50</f>
        <v>10000</v>
      </c>
      <c r="G83" s="171">
        <f t="shared" si="1"/>
        <v>14647.18872</v>
      </c>
      <c r="H83" s="171">
        <f t="shared" si="5"/>
        <v>68421.69128</v>
      </c>
      <c r="I83" s="171">
        <f t="shared" si="6"/>
        <v>1578.30872</v>
      </c>
      <c r="J83" s="171">
        <f t="shared" si="2"/>
        <v>70000</v>
      </c>
      <c r="K83" s="172">
        <v>0.175</v>
      </c>
      <c r="L83" s="171">
        <f t="shared" si="3"/>
        <v>-813.258026</v>
      </c>
      <c r="M83" s="173">
        <f t="shared" si="4"/>
        <v>13833.93069</v>
      </c>
      <c r="N83" s="66"/>
      <c r="O83" s="4"/>
      <c r="P83" s="4"/>
      <c r="Q83" s="4"/>
      <c r="R83" s="4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4"/>
      <c r="B84" s="169">
        <v>22.0</v>
      </c>
      <c r="C84" s="170">
        <v>45838.0</v>
      </c>
      <c r="D84" s="171">
        <v>0.0</v>
      </c>
      <c r="E84" s="171"/>
      <c r="F84" s="171"/>
      <c r="G84" s="171">
        <f t="shared" si="1"/>
        <v>0</v>
      </c>
      <c r="H84" s="171">
        <f t="shared" si="5"/>
        <v>70000</v>
      </c>
      <c r="I84" s="171">
        <f t="shared" si="6"/>
        <v>1330</v>
      </c>
      <c r="J84" s="171">
        <f t="shared" si="2"/>
        <v>71330</v>
      </c>
      <c r="K84" s="172">
        <v>0.175</v>
      </c>
      <c r="L84" s="171">
        <f t="shared" si="3"/>
        <v>0</v>
      </c>
      <c r="M84" s="173">
        <f t="shared" si="4"/>
        <v>0</v>
      </c>
      <c r="N84" s="66"/>
      <c r="O84" s="4"/>
      <c r="P84" s="4"/>
      <c r="Q84" s="4"/>
      <c r="R84" s="4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4"/>
      <c r="B85" s="169">
        <v>23.0</v>
      </c>
      <c r="C85" s="170">
        <v>45869.0</v>
      </c>
      <c r="D85" s="171">
        <v>0.0</v>
      </c>
      <c r="E85" s="171"/>
      <c r="F85" s="171"/>
      <c r="G85" s="171">
        <f t="shared" si="1"/>
        <v>0</v>
      </c>
      <c r="H85" s="171">
        <f t="shared" si="5"/>
        <v>71330</v>
      </c>
      <c r="I85" s="171">
        <f t="shared" si="6"/>
        <v>1355.27</v>
      </c>
      <c r="J85" s="171">
        <f t="shared" si="2"/>
        <v>72685.27</v>
      </c>
      <c r="K85" s="172">
        <v>0.175</v>
      </c>
      <c r="L85" s="171">
        <f t="shared" si="3"/>
        <v>0</v>
      </c>
      <c r="M85" s="173">
        <f t="shared" si="4"/>
        <v>0</v>
      </c>
      <c r="N85" s="66"/>
      <c r="O85" s="4"/>
      <c r="P85" s="4"/>
      <c r="Q85" s="4"/>
      <c r="R85" s="4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4"/>
      <c r="B86" s="169">
        <v>24.0</v>
      </c>
      <c r="C86" s="170">
        <v>45900.0</v>
      </c>
      <c r="D86" s="171">
        <v>0.0</v>
      </c>
      <c r="E86" s="171">
        <f>SUM(I84:I86)</f>
        <v>4066.29013</v>
      </c>
      <c r="F86" s="171">
        <f>-$D$62*$O$51</f>
        <v>10000</v>
      </c>
      <c r="G86" s="171">
        <f t="shared" si="1"/>
        <v>14066.29013</v>
      </c>
      <c r="H86" s="171">
        <f t="shared" si="5"/>
        <v>58618.97987</v>
      </c>
      <c r="I86" s="171">
        <f t="shared" si="6"/>
        <v>1381.02013</v>
      </c>
      <c r="J86" s="171">
        <f t="shared" si="2"/>
        <v>60000</v>
      </c>
      <c r="K86" s="172">
        <v>0.175</v>
      </c>
      <c r="L86" s="171">
        <f t="shared" si="3"/>
        <v>-711.6007728</v>
      </c>
      <c r="M86" s="173">
        <f t="shared" si="4"/>
        <v>13354.68936</v>
      </c>
      <c r="N86" s="66"/>
      <c r="O86" s="4"/>
      <c r="P86" s="4"/>
      <c r="Q86" s="4"/>
      <c r="R86" s="4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4"/>
      <c r="B87" s="169">
        <v>25.0</v>
      </c>
      <c r="C87" s="170">
        <v>45930.0</v>
      </c>
      <c r="D87" s="171">
        <v>0.0</v>
      </c>
      <c r="E87" s="171"/>
      <c r="F87" s="171"/>
      <c r="G87" s="171">
        <f t="shared" si="1"/>
        <v>0</v>
      </c>
      <c r="H87" s="171">
        <f t="shared" si="5"/>
        <v>60000</v>
      </c>
      <c r="I87" s="171">
        <f t="shared" si="6"/>
        <v>1140</v>
      </c>
      <c r="J87" s="171">
        <f t="shared" si="2"/>
        <v>61140</v>
      </c>
      <c r="K87" s="172">
        <v>0.15</v>
      </c>
      <c r="L87" s="171">
        <f t="shared" si="3"/>
        <v>0</v>
      </c>
      <c r="M87" s="173">
        <f t="shared" si="4"/>
        <v>0</v>
      </c>
      <c r="N87" s="66"/>
      <c r="O87" s="4"/>
      <c r="P87" s="4"/>
      <c r="Q87" s="4"/>
      <c r="R87" s="4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4"/>
      <c r="B88" s="169">
        <v>26.0</v>
      </c>
      <c r="C88" s="170">
        <v>45961.0</v>
      </c>
      <c r="D88" s="171">
        <v>0.0</v>
      </c>
      <c r="E88" s="171"/>
      <c r="F88" s="171"/>
      <c r="G88" s="171">
        <f t="shared" si="1"/>
        <v>0</v>
      </c>
      <c r="H88" s="171">
        <f t="shared" si="5"/>
        <v>61140</v>
      </c>
      <c r="I88" s="171">
        <f t="shared" si="6"/>
        <v>1161.66</v>
      </c>
      <c r="J88" s="171">
        <f t="shared" si="2"/>
        <v>62301.66</v>
      </c>
      <c r="K88" s="172">
        <v>0.15</v>
      </c>
      <c r="L88" s="171">
        <f t="shared" si="3"/>
        <v>0</v>
      </c>
      <c r="M88" s="173">
        <f t="shared" si="4"/>
        <v>0</v>
      </c>
      <c r="N88" s="66"/>
      <c r="O88" s="4"/>
      <c r="P88" s="4"/>
      <c r="Q88" s="4"/>
      <c r="R88" s="4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4"/>
      <c r="B89" s="169">
        <v>27.0</v>
      </c>
      <c r="C89" s="170">
        <v>45991.0</v>
      </c>
      <c r="D89" s="171">
        <v>0.0</v>
      </c>
      <c r="E89" s="171">
        <f>SUM(I87:I89)</f>
        <v>3485.39154</v>
      </c>
      <c r="F89" s="171">
        <f>-$D$62*$O$52</f>
        <v>15000</v>
      </c>
      <c r="G89" s="171">
        <f t="shared" si="1"/>
        <v>18485.39154</v>
      </c>
      <c r="H89" s="171">
        <f t="shared" si="5"/>
        <v>43816.26846</v>
      </c>
      <c r="I89" s="171">
        <f t="shared" si="6"/>
        <v>1183.73154</v>
      </c>
      <c r="J89" s="171">
        <f t="shared" si="2"/>
        <v>45000</v>
      </c>
      <c r="K89" s="172">
        <v>0.15</v>
      </c>
      <c r="L89" s="171">
        <f t="shared" si="3"/>
        <v>-522.808731</v>
      </c>
      <c r="M89" s="173">
        <f t="shared" si="4"/>
        <v>17962.58281</v>
      </c>
      <c r="N89" s="66"/>
      <c r="O89" s="4"/>
      <c r="P89" s="4"/>
      <c r="Q89" s="4"/>
      <c r="R89" s="4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4"/>
      <c r="B90" s="169">
        <v>28.0</v>
      </c>
      <c r="C90" s="170">
        <v>46022.0</v>
      </c>
      <c r="D90" s="171">
        <v>0.0</v>
      </c>
      <c r="E90" s="171"/>
      <c r="F90" s="171"/>
      <c r="G90" s="171">
        <f t="shared" si="1"/>
        <v>0</v>
      </c>
      <c r="H90" s="171">
        <f t="shared" si="5"/>
        <v>45000</v>
      </c>
      <c r="I90" s="171">
        <f t="shared" si="6"/>
        <v>855</v>
      </c>
      <c r="J90" s="171">
        <f t="shared" si="2"/>
        <v>45855</v>
      </c>
      <c r="K90" s="172">
        <v>0.15</v>
      </c>
      <c r="L90" s="171">
        <f t="shared" si="3"/>
        <v>0</v>
      </c>
      <c r="M90" s="173">
        <f t="shared" si="4"/>
        <v>0</v>
      </c>
      <c r="N90" s="66"/>
      <c r="O90" s="4"/>
      <c r="P90" s="4"/>
      <c r="Q90" s="4"/>
      <c r="R90" s="4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4"/>
      <c r="B91" s="169">
        <v>29.0</v>
      </c>
      <c r="C91" s="170">
        <v>46053.0</v>
      </c>
      <c r="D91" s="171">
        <v>0.0</v>
      </c>
      <c r="E91" s="171"/>
      <c r="F91" s="171"/>
      <c r="G91" s="171">
        <f t="shared" si="1"/>
        <v>0</v>
      </c>
      <c r="H91" s="171">
        <f t="shared" si="5"/>
        <v>45855</v>
      </c>
      <c r="I91" s="171">
        <f t="shared" si="6"/>
        <v>871.245</v>
      </c>
      <c r="J91" s="171">
        <f t="shared" si="2"/>
        <v>46726.245</v>
      </c>
      <c r="K91" s="172">
        <v>0.15</v>
      </c>
      <c r="L91" s="171">
        <f t="shared" si="3"/>
        <v>0</v>
      </c>
      <c r="M91" s="173">
        <f t="shared" si="4"/>
        <v>0</v>
      </c>
      <c r="N91" s="66"/>
      <c r="O91" s="4"/>
      <c r="P91" s="4"/>
      <c r="Q91" s="4"/>
      <c r="R91" s="4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4"/>
      <c r="B92" s="169">
        <v>30.0</v>
      </c>
      <c r="C92" s="170">
        <v>46081.0</v>
      </c>
      <c r="D92" s="171">
        <v>0.0</v>
      </c>
      <c r="E92" s="171">
        <f>SUM(I90:I92)</f>
        <v>2614.043655</v>
      </c>
      <c r="F92" s="171">
        <f>-$D$62*$O$53</f>
        <v>15000</v>
      </c>
      <c r="G92" s="171">
        <f t="shared" si="1"/>
        <v>17614.04366</v>
      </c>
      <c r="H92" s="171">
        <f t="shared" si="5"/>
        <v>29112.20135</v>
      </c>
      <c r="I92" s="171">
        <f t="shared" si="6"/>
        <v>887.798655</v>
      </c>
      <c r="J92" s="171">
        <f t="shared" si="2"/>
        <v>30000</v>
      </c>
      <c r="K92" s="172">
        <v>0.15</v>
      </c>
      <c r="L92" s="171">
        <f t="shared" si="3"/>
        <v>-392.1065483</v>
      </c>
      <c r="M92" s="173">
        <f t="shared" si="4"/>
        <v>17221.93711</v>
      </c>
      <c r="N92" s="66"/>
      <c r="O92" s="4"/>
      <c r="P92" s="4"/>
      <c r="Q92" s="4"/>
      <c r="R92" s="4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4"/>
      <c r="B93" s="169">
        <v>31.0</v>
      </c>
      <c r="C93" s="170">
        <v>46112.0</v>
      </c>
      <c r="D93" s="171">
        <v>0.0</v>
      </c>
      <c r="E93" s="171"/>
      <c r="F93" s="171"/>
      <c r="G93" s="171">
        <f t="shared" si="1"/>
        <v>0</v>
      </c>
      <c r="H93" s="171">
        <f t="shared" si="5"/>
        <v>30000</v>
      </c>
      <c r="I93" s="171">
        <f t="shared" si="6"/>
        <v>570</v>
      </c>
      <c r="J93" s="171">
        <f t="shared" si="2"/>
        <v>30570</v>
      </c>
      <c r="K93" s="172">
        <v>0.15</v>
      </c>
      <c r="L93" s="171">
        <f t="shared" si="3"/>
        <v>0</v>
      </c>
      <c r="M93" s="173">
        <f t="shared" si="4"/>
        <v>0</v>
      </c>
      <c r="N93" s="66"/>
      <c r="O93" s="4"/>
      <c r="P93" s="4"/>
      <c r="Q93" s="4"/>
      <c r="R93" s="4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4"/>
      <c r="B94" s="169">
        <v>32.0</v>
      </c>
      <c r="C94" s="170">
        <v>46142.0</v>
      </c>
      <c r="D94" s="171">
        <v>0.0</v>
      </c>
      <c r="E94" s="171"/>
      <c r="F94" s="171"/>
      <c r="G94" s="171">
        <f t="shared" si="1"/>
        <v>0</v>
      </c>
      <c r="H94" s="171">
        <f t="shared" si="5"/>
        <v>30570</v>
      </c>
      <c r="I94" s="171">
        <f t="shared" si="6"/>
        <v>580.83</v>
      </c>
      <c r="J94" s="171">
        <f t="shared" si="2"/>
        <v>31150.83</v>
      </c>
      <c r="K94" s="172">
        <v>0.15</v>
      </c>
      <c r="L94" s="171">
        <f t="shared" si="3"/>
        <v>0</v>
      </c>
      <c r="M94" s="173">
        <f t="shared" si="4"/>
        <v>0</v>
      </c>
      <c r="N94" s="66"/>
      <c r="O94" s="4"/>
      <c r="P94" s="4"/>
      <c r="Q94" s="4"/>
      <c r="R94" s="4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4"/>
      <c r="B95" s="169">
        <v>33.0</v>
      </c>
      <c r="C95" s="170">
        <v>46173.0</v>
      </c>
      <c r="D95" s="171">
        <v>0.0</v>
      </c>
      <c r="E95" s="171">
        <f>SUM(I93:I95)</f>
        <v>1742.69577</v>
      </c>
      <c r="F95" s="171">
        <f>-$D$62*$O$54</f>
        <v>15000</v>
      </c>
      <c r="G95" s="171">
        <f t="shared" si="1"/>
        <v>16742.69577</v>
      </c>
      <c r="H95" s="171">
        <f t="shared" si="5"/>
        <v>14408.13423</v>
      </c>
      <c r="I95" s="171">
        <f t="shared" si="6"/>
        <v>591.86577</v>
      </c>
      <c r="J95" s="171">
        <f t="shared" si="2"/>
        <v>15000</v>
      </c>
      <c r="K95" s="172">
        <v>0.15</v>
      </c>
      <c r="L95" s="171">
        <f t="shared" si="3"/>
        <v>-261.4043655</v>
      </c>
      <c r="M95" s="173">
        <f t="shared" si="4"/>
        <v>16481.2914</v>
      </c>
      <c r="N95" s="66"/>
      <c r="O95" s="4"/>
      <c r="P95" s="4"/>
      <c r="Q95" s="4"/>
      <c r="R95" s="4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4"/>
      <c r="B96" s="169">
        <v>34.0</v>
      </c>
      <c r="C96" s="170">
        <v>46203.0</v>
      </c>
      <c r="D96" s="171">
        <v>0.0</v>
      </c>
      <c r="E96" s="171"/>
      <c r="F96" s="171"/>
      <c r="G96" s="171">
        <f t="shared" si="1"/>
        <v>0</v>
      </c>
      <c r="H96" s="171">
        <f t="shared" si="5"/>
        <v>15000</v>
      </c>
      <c r="I96" s="171">
        <f t="shared" si="6"/>
        <v>285</v>
      </c>
      <c r="J96" s="171">
        <f t="shared" si="2"/>
        <v>15285</v>
      </c>
      <c r="K96" s="172">
        <v>0.15</v>
      </c>
      <c r="L96" s="171">
        <f t="shared" si="3"/>
        <v>0</v>
      </c>
      <c r="M96" s="173">
        <f t="shared" si="4"/>
        <v>0</v>
      </c>
      <c r="N96" s="66"/>
      <c r="O96" s="4"/>
      <c r="P96" s="4"/>
      <c r="Q96" s="4"/>
      <c r="R96" s="4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4"/>
      <c r="B97" s="169">
        <v>35.0</v>
      </c>
      <c r="C97" s="170">
        <v>46234.0</v>
      </c>
      <c r="D97" s="171">
        <v>0.0</v>
      </c>
      <c r="E97" s="171"/>
      <c r="F97" s="171"/>
      <c r="G97" s="171">
        <f t="shared" si="1"/>
        <v>0</v>
      </c>
      <c r="H97" s="171">
        <f t="shared" si="5"/>
        <v>15285</v>
      </c>
      <c r="I97" s="171">
        <f t="shared" si="6"/>
        <v>290.415</v>
      </c>
      <c r="J97" s="171">
        <f t="shared" si="2"/>
        <v>15575.415</v>
      </c>
      <c r="K97" s="172">
        <v>0.15</v>
      </c>
      <c r="L97" s="171">
        <f t="shared" si="3"/>
        <v>0</v>
      </c>
      <c r="M97" s="173">
        <f t="shared" si="4"/>
        <v>0</v>
      </c>
      <c r="N97" s="66"/>
      <c r="O97" s="4"/>
      <c r="P97" s="4"/>
      <c r="Q97" s="4"/>
      <c r="R97" s="4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4"/>
      <c r="B98" s="174">
        <v>36.0</v>
      </c>
      <c r="C98" s="175">
        <v>46265.0</v>
      </c>
      <c r="D98" s="176">
        <v>0.0</v>
      </c>
      <c r="E98" s="176">
        <f>SUM(I96:I98)</f>
        <v>871.347885</v>
      </c>
      <c r="F98" s="176">
        <f>-$D$62*$O$54</f>
        <v>15000</v>
      </c>
      <c r="G98" s="176">
        <f t="shared" si="1"/>
        <v>15871.34789</v>
      </c>
      <c r="H98" s="176">
        <f t="shared" si="5"/>
        <v>-295.932885</v>
      </c>
      <c r="I98" s="176">
        <f t="shared" si="6"/>
        <v>295.932885</v>
      </c>
      <c r="J98" s="176">
        <f t="shared" si="2"/>
        <v>0</v>
      </c>
      <c r="K98" s="177">
        <v>0.15</v>
      </c>
      <c r="L98" s="176">
        <f t="shared" si="3"/>
        <v>-130.7021828</v>
      </c>
      <c r="M98" s="178">
        <f t="shared" si="4"/>
        <v>15740.6457</v>
      </c>
      <c r="N98" s="66"/>
      <c r="O98" s="4"/>
      <c r="P98" s="4"/>
      <c r="Q98" s="4"/>
      <c r="R98" s="4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4"/>
      <c r="B99" s="179"/>
      <c r="C99" s="179"/>
      <c r="D99" s="180"/>
      <c r="E99" s="180"/>
      <c r="F99" s="180"/>
      <c r="G99" s="180"/>
      <c r="H99" s="180"/>
      <c r="I99" s="180"/>
      <c r="J99" s="180"/>
      <c r="K99" s="181"/>
      <c r="L99" s="180"/>
      <c r="M99" s="180"/>
      <c r="N99" s="66"/>
      <c r="O99" s="4"/>
      <c r="P99" s="4"/>
      <c r="Q99" s="4"/>
      <c r="R99" s="4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4"/>
      <c r="B100" s="179"/>
      <c r="C100" s="179"/>
      <c r="D100" s="180"/>
      <c r="E100" s="180"/>
      <c r="F100" s="180"/>
      <c r="G100" s="180"/>
      <c r="H100" s="180"/>
      <c r="I100" s="180"/>
      <c r="J100" s="180"/>
      <c r="K100" s="181"/>
      <c r="L100" s="180"/>
      <c r="M100" s="180"/>
      <c r="N100" s="66"/>
      <c r="O100" s="4"/>
      <c r="P100" s="4"/>
      <c r="Q100" s="4"/>
      <c r="R100" s="4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4"/>
      <c r="B101" s="4"/>
      <c r="C101" s="4"/>
      <c r="D101" s="4"/>
      <c r="E101" s="4"/>
      <c r="F101" s="4"/>
      <c r="G101" s="18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 t="s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/>
      <c r="R102" s="3"/>
      <c r="S102" s="3" t="s">
        <v>1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4"/>
      <c r="B104" s="4"/>
      <c r="C104" s="4"/>
      <c r="D104" s="4"/>
      <c r="E104" s="150"/>
      <c r="F104" s="15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4"/>
      <c r="B105" s="4"/>
      <c r="C105" s="4"/>
      <c r="D105" s="4"/>
      <c r="E105" s="4"/>
      <c r="F105" s="15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23">
    <mergeCell ref="A1:P4"/>
    <mergeCell ref="B7:O7"/>
    <mergeCell ref="D10:O10"/>
    <mergeCell ref="D16:O16"/>
    <mergeCell ref="D17:O17"/>
    <mergeCell ref="D19:O19"/>
    <mergeCell ref="B23:M23"/>
    <mergeCell ref="B25:B26"/>
    <mergeCell ref="C25:D26"/>
    <mergeCell ref="G25:G26"/>
    <mergeCell ref="M25:M26"/>
    <mergeCell ref="C28:D29"/>
    <mergeCell ref="G28:G29"/>
    <mergeCell ref="M28:M29"/>
    <mergeCell ref="M31:M32"/>
    <mergeCell ref="M34:M35"/>
    <mergeCell ref="B28:B29"/>
    <mergeCell ref="B31:B32"/>
    <mergeCell ref="C31:D32"/>
    <mergeCell ref="G31:G32"/>
    <mergeCell ref="B34:B35"/>
    <mergeCell ref="C34:D35"/>
    <mergeCell ref="G34:G35"/>
  </mergeCells>
  <hyperlinks>
    <hyperlink r:id="rId1" ref="M25"/>
  </hyperlinks>
  <printOptions/>
  <pageMargins bottom="0.07874015748031496" footer="0.0" header="0.0" left="0.2755905511811024" right="0.2362204724409449" top="0.15748031496062992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2023-05-24T20:55:30Z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0x010100DDF508A825F4444A8F4CED5F20002989</vt:lpwstr>
  </property>
  <property fmtid="{D5CDD505-2E9C-101B-9397-08002B2CF9AE}" pid="3" name="MediaServiceImageTags">
    <vt:lpwstr/>
  </property>
</Properties>
</file>